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50" windowHeight="9315" firstSheet="2" activeTab="2"/>
  </bookViews>
  <sheets>
    <sheet name="Приложение №5" sheetId="1" r:id="rId1"/>
    <sheet name="Приложение №6" sheetId="2" r:id="rId2"/>
    <sheet name="Приложение №7" sheetId="3" r:id="rId3"/>
    <sheet name="Приложение_№8" sheetId="4" r:id="rId4"/>
    <sheet name="Приложение_№9" sheetId="5" r:id="rId5"/>
    <sheet name="Приложение_№10" sheetId="6" r:id="rId6"/>
    <sheet name="Приложение_№11" sheetId="7" r:id="rId7"/>
    <sheet name="Приложение №12" sheetId="8" r:id="rId8"/>
  </sheets>
  <definedNames>
    <definedName name="_xlnm.Print_Titles" localSheetId="0">'Приложение №5'!$5:$6</definedName>
    <definedName name="_xlnm.Print_Titles" localSheetId="1">'Приложение №6'!$5:$6</definedName>
    <definedName name="_xlnm.Print_Titles" localSheetId="2">'Приложение №7'!$A:$C</definedName>
    <definedName name="_xlnm.Print_Titles" localSheetId="5">'Приложение_№10'!$5:$7</definedName>
    <definedName name="_xlnm.Print_Titles" localSheetId="6">'Приложение_№11'!$4:$6</definedName>
    <definedName name="_xlnm.Print_Titles" localSheetId="3">'Приложение_№8'!$5:$7</definedName>
    <definedName name="_xlnm.Print_Titles" localSheetId="4">'Приложение_№9'!$4:$6</definedName>
    <definedName name="_xlnm.Print_Area" localSheetId="0">'Приложение №5'!$A$1:$J$324</definedName>
    <definedName name="_xlnm.Print_Area" localSheetId="1">'Приложение №6'!$A$1:$J$331</definedName>
    <definedName name="_xlnm.Print_Area" localSheetId="2">'Приложение №7'!$A$1:$AA$42</definedName>
  </definedNames>
  <calcPr fullCalcOnLoad="1"/>
</workbook>
</file>

<file path=xl/sharedStrings.xml><?xml version="1.0" encoding="utf-8"?>
<sst xmlns="http://schemas.openxmlformats.org/spreadsheetml/2006/main" count="1090" uniqueCount="407">
  <si>
    <t xml:space="preserve">к государственной программе Республики Саха (Якутия) "Энергоэффективная экономика
 на 2012-2016 годы" </t>
  </si>
  <si>
    <t>_______________</t>
  </si>
  <si>
    <t xml:space="preserve"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</t>
  </si>
  <si>
    <t>тыс. куб.м</t>
  </si>
  <si>
    <t>Доля объемов ТЭ, потребляемой БУ, расчеты за которую осуществляются с  использованием приборов учета, в общем объеме ТЭ, потребляемой БУ</t>
  </si>
  <si>
    <t>Доля объемов воды, потребляемой БУ, расчеты за которую осуществляются с  использованием приборов учета, в общем объеме ЭЭ, потребляемой БУ</t>
  </si>
  <si>
    <t>Доля объемов ЭЭ, потребляемой в жилых домах (за исключением МКД), расчеты за которую осуществляются с  использованием приборов учета, в общем объеме ЭЭ, потребляемой в жилых домах (за исключением МКД)</t>
  </si>
  <si>
    <t>Доля объемов ЭЭ, потребляемой в МКД, оплата которой осуществляется с  использованием индивидуальных и общих (для коммунальной квартиры) приборов учета, в общем объеме ЭЭ, потребляемой (используемой) в МКД</t>
  </si>
  <si>
    <t>Экономия воды в натуральном выражении</t>
  </si>
  <si>
    <t>Экономия воды в стоимостном выражении</t>
  </si>
  <si>
    <t>Объем ТЭ,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</si>
  <si>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потребления ЭЭ, расчеты за которую осуществляются с использованием приборов учета (в части многоквартирных домов - с использованием коллективных приборов учета)</t>
  </si>
  <si>
    <t>%</t>
  </si>
  <si>
    <t>Экономия тепловой энергии в натуральном выражении</t>
  </si>
  <si>
    <t>Число энергосервисных договоров (контрактов), заключенных государственными заказчиками</t>
  </si>
  <si>
    <t>Число жилых домов, в отношении которых проведено энергетическое обследование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</si>
  <si>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Госкомцен-РЭК РС(Я)</t>
  </si>
  <si>
    <t>Количество общественного транспорта, регулирование тарифов на услуги по перевозке на котором осуществляется Госкомцен-РЭК РС(Я),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</si>
  <si>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Экономия природного газа в натуральном выражении</t>
  </si>
  <si>
    <t>№ п/п</t>
  </si>
  <si>
    <t>Общие сведения</t>
  </si>
  <si>
    <t>Разбивка по годам</t>
  </si>
  <si>
    <t>Потребление ТЭР</t>
  </si>
  <si>
    <t>Объем потребления ЭЭ</t>
  </si>
  <si>
    <t>Объем потребления ТЭ</t>
  </si>
  <si>
    <t>тыс. Гкал</t>
  </si>
  <si>
    <t>Объем потребления воды</t>
  </si>
  <si>
    <t>Объем потребления природного газа</t>
  </si>
  <si>
    <t>Объем потребления ТЭ, расчеты за которую осуществляются с использованием приборов учета</t>
  </si>
  <si>
    <t>Объем потребления воды, расчеты за которую осуществляются с использованием приборов учета</t>
  </si>
  <si>
    <t>Объем потребления природного газа, расчеты за который осуществляются с использованием приборов учета</t>
  </si>
  <si>
    <t>Тариф на ЭЭ</t>
  </si>
  <si>
    <t>Тариф на ТЭ</t>
  </si>
  <si>
    <t>руб./ Гкал</t>
  </si>
  <si>
    <t>Тариф на воду</t>
  </si>
  <si>
    <t>Тариф на природный газ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</si>
  <si>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</si>
  <si>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</si>
  <si>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</si>
  <si>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Объем потребления ЭЭ БУ, расчеты за которую осуществляются с использованием приборов учета</t>
  </si>
  <si>
    <t>Объем потребления ЭЭ БУ</t>
  </si>
  <si>
    <t>Объем потребления ТЭ БУ, расчеты за которую осуществляются с использованием приборов учета</t>
  </si>
  <si>
    <t>Объем потребления ТЭ БУ</t>
  </si>
  <si>
    <t>Объем потребления воды БУ, расчеты за которую осуществляются с использованием приборов учета</t>
  </si>
  <si>
    <t>Объем потребления воды БУ</t>
  </si>
  <si>
    <t>Объем потребления природного газа БУ, расчеты за которую осуществляются с использованием приборов учета</t>
  </si>
  <si>
    <t>Объем потребления природного газа БУ</t>
  </si>
  <si>
    <t>Общее количество БУ</t>
  </si>
  <si>
    <t>шт.</t>
  </si>
  <si>
    <t>Общее количество государственных заказчиков</t>
  </si>
  <si>
    <t>Объем товаров, работ, услуг, закупаемых для государственных нужд</t>
  </si>
  <si>
    <t>Объем товаров, работ, услуг, закупаемых для государственных нужд в соответствии с требованиями энергетической эффективности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</si>
  <si>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</si>
  <si>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</si>
  <si>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руб. /куб.м</t>
  </si>
  <si>
    <t>Объем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</si>
  <si>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Число жилых домов</t>
  </si>
  <si>
    <t>Объем природного газа, потребляемого (используемого) в жилых домах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</si>
  <si>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жилых домах (за исключением многоквартирных домов)</t>
  </si>
  <si>
    <t>Объем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</si>
  <si>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</si>
  <si>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домов), расчеты за которую осуществляются с использованием приборов учета</t>
  </si>
  <si>
    <t>Объем воды, потребляемой (используемой) в жилых домах (за исключением многоквартирных домов)</t>
  </si>
  <si>
    <t>Объем ТЭ, потребляемой (используемой) в многоквартирных домах</t>
  </si>
  <si>
    <t>Объем ТЭ, потребляемой (используемой) в жилых домах, расчеты за которую осуществляются с использованием приборов учета</t>
  </si>
  <si>
    <t>Объем ТЭ, потребляемой (используемой) в жилых домах (за исключением многоквартирных)</t>
  </si>
  <si>
    <t>Объем ЭЭ, потребляемой (используемой) в многоквартирных домах</t>
  </si>
  <si>
    <t xml:space="preserve">Объем ЭЭ, потребляемой (используемой) в жилых домах (за исключением многоквартирных домов), расчеты за которую осуществляются с использованием приборов учета </t>
  </si>
  <si>
    <t>Объем ЭЭ, потребляемой (используемой) в жилых домах (за исключением многоквартирных домов)</t>
  </si>
  <si>
    <t xml:space="preserve">Объем воды, потребляемой (используемой) в многоквартирных домах </t>
  </si>
  <si>
    <t>Объем природного газа, потребляемого (используемого) в многоквартирных домах</t>
  </si>
  <si>
    <t>№</t>
  </si>
  <si>
    <t>Наименование показателей</t>
  </si>
  <si>
    <t>Значения целевых показателей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</si>
  <si>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</si>
  <si>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</si>
  <si>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валового регионального продукта - для региональных программ энергосбережения и повышения энергетической эффективности</t>
  </si>
  <si>
    <t>А.2.</t>
  </si>
  <si>
    <t>А.3.</t>
  </si>
  <si>
    <t>А.4.</t>
  </si>
  <si>
    <t>А.5.</t>
  </si>
  <si>
    <t>А.6.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</si>
  <si>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</si>
  <si>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т.у.т.</t>
  </si>
  <si>
    <t>А.7.</t>
  </si>
  <si>
    <t>А.8.</t>
  </si>
  <si>
    <t>%.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</si>
  <si>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</si>
  <si>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</si>
  <si>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электрической энергии в натуральном выражении</t>
  </si>
  <si>
    <t>В.2.</t>
  </si>
  <si>
    <t>Экономия электрической энергии в стоимостном выражении</t>
  </si>
  <si>
    <t>В.3.</t>
  </si>
  <si>
    <t>В.4.</t>
  </si>
  <si>
    <t>Экономия тепловой энергии в стоимостном выражении</t>
  </si>
  <si>
    <t>В.5.</t>
  </si>
  <si>
    <t>В.6.</t>
  </si>
  <si>
    <t>В.7.</t>
  </si>
  <si>
    <t>В.8.</t>
  </si>
  <si>
    <t>Экономия природного газа в стоимостном выражении</t>
  </si>
  <si>
    <t>Группа С. Целевые показатели в области энергосбережения и повышения энергетической эффективности в бюджетном секторе</t>
  </si>
  <si>
    <t>C.1.</t>
  </si>
  <si>
    <t>C.2.</t>
  </si>
  <si>
    <t>C.3.</t>
  </si>
  <si>
    <t>C.4.</t>
  </si>
  <si>
    <t>C.5.</t>
  </si>
  <si>
    <t>C.6.</t>
  </si>
  <si>
    <t>C.7.</t>
  </si>
  <si>
    <t>С.8.</t>
  </si>
  <si>
    <t>C.9.</t>
  </si>
  <si>
    <t>C.10.</t>
  </si>
  <si>
    <t>C.11.</t>
  </si>
  <si>
    <t>C.12.</t>
  </si>
  <si>
    <t>Число энергосервисных договоров, заключенных государственными заказчиками</t>
  </si>
  <si>
    <t>C.13.</t>
  </si>
  <si>
    <t>C.14.</t>
  </si>
  <si>
    <t>Доля товаров, работ, услуг, закупаемых для государственных нужд в соответствии с требованиями энергетической эффективности, в общем объеме закупаемых товаров, работ, услуг для государственных нужд</t>
  </si>
  <si>
    <t>C.15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</si>
  <si>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</si>
  <si>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</si>
  <si>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D.2.</t>
  </si>
  <si>
    <t>D.3.</t>
  </si>
  <si>
    <t>D.4.</t>
  </si>
  <si>
    <t>D.5.</t>
  </si>
  <si>
    <t>D.6.</t>
  </si>
  <si>
    <t>D.7.</t>
  </si>
  <si>
    <t>D.8.</t>
  </si>
  <si>
    <t>D.9.</t>
  </si>
  <si>
    <t>D.10.</t>
  </si>
  <si>
    <t>D.11.</t>
  </si>
  <si>
    <t>Число жилых домов, в отношении которых проведено ЭО</t>
  </si>
  <si>
    <t>D.12.</t>
  </si>
  <si>
    <t>Доля жилых домов, в отношении которых проведено ЭО, в общем числе жилых домов</t>
  </si>
  <si>
    <t>кг.у.т./ тыс.руб.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</si>
  <si>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потребляемой ЭЭ</t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</si>
  <si>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</si>
  <si>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потребляемой воды</t>
  </si>
  <si>
    <t>Доля объемов ЭЭ, потребляемой БУ, расчеты за которую осуществляются с использованием приборов учета, в общем объеме ЭЭ, потребляемой БУ</t>
  </si>
  <si>
    <t xml:space="preserve"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</t>
  </si>
  <si>
    <t xml:space="preserve"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</si>
  <si>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(за исключением МКД)</t>
  </si>
  <si>
    <t xml:space="preserve">Доля объемов ТЭ, потребляемой в МКД, оплата которой осуществляется с использованием коллективных (общедомовых) приборов учета, в общем объеме ТЭ, потребляемой в МКД </t>
  </si>
  <si>
    <t xml:space="preserve"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</t>
  </si>
  <si>
    <t xml:space="preserve"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</t>
  </si>
  <si>
    <t xml:space="preserve">Доля объемов воды, потребляемой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</t>
  </si>
  <si>
    <t xml:space="preserve"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</t>
  </si>
  <si>
    <t>п2(n)/п1(n)</t>
  </si>
  <si>
    <t>(п7(n)/п3(n)* 100%</t>
  </si>
  <si>
    <t>(п8(n)/п4(n)* 100%</t>
  </si>
  <si>
    <t>(п9(n)/п5(n)* 100%</t>
  </si>
  <si>
    <t>п15(n+1) – п15(n)</t>
  </si>
  <si>
    <t>[(А.1.(2007) – А.1.(n))/ А.1.(2007)]* п3(2007)</t>
  </si>
  <si>
    <t>В.1.(n)*п11(2007)</t>
  </si>
  <si>
    <t>[(А.1.(2007) – А.1.(n))/ А.1.(2007)]* п4(2007)</t>
  </si>
  <si>
    <t>[(А.1.(2007) – А.1.(n))/ А.1.(2007)]* п5(2007)</t>
  </si>
  <si>
    <t>В.5.(n)*п13(2007)</t>
  </si>
  <si>
    <t>[(А.1.(2007) – А.1.(n))/ А.1.(2007)]* п6(2007)</t>
  </si>
  <si>
    <t>(п19(n)/п20(n)* 100%</t>
  </si>
  <si>
    <t>(п21(n)/п22(n)* 100%</t>
  </si>
  <si>
    <t>(п23(n)/п24(n)* 100%</t>
  </si>
  <si>
    <t>(п25(n)/п26(n)* 100%</t>
  </si>
  <si>
    <t>(п28(n)/п27(n)* 100%</t>
  </si>
  <si>
    <t>п28(n+1) – п28(n)</t>
  </si>
  <si>
    <t>(п29(n)/п27(n)* 100%</t>
  </si>
  <si>
    <t>п29(n+1) – п29(n)</t>
  </si>
  <si>
    <t>(п31(n)/п30(n)* 100%</t>
  </si>
  <si>
    <t>п32(n)</t>
  </si>
  <si>
    <t>(п34(n)/п33(n)* 100%</t>
  </si>
  <si>
    <t>(п36(n)/п35(n)* 100%</t>
  </si>
  <si>
    <t>(п37(n)/п38(n)</t>
  </si>
  <si>
    <t>(п40(n)/п39(n)* 100%</t>
  </si>
  <si>
    <t>(п42(n)/п41(n)* 100%</t>
  </si>
  <si>
    <t>(п43(n)/п41(n)* 100%</t>
  </si>
  <si>
    <t>(п45(n)/п44(n)* 100%</t>
  </si>
  <si>
    <t>(п47(n)/п46(n)* 100%</t>
  </si>
  <si>
    <t>(п49(n)/п48(n)* 100%</t>
  </si>
  <si>
    <t>(п51(n)/п50(n)* 100%</t>
  </si>
  <si>
    <t>(п52(n)/п50(n)* 100%</t>
  </si>
  <si>
    <t>(п54(n)/п53(n)* 100%</t>
  </si>
  <si>
    <t>(п56(n)/п55(n)* 100%</t>
  </si>
  <si>
    <t>E.1.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</si>
  <si>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субъектом Российской Федерации</t>
  </si>
  <si>
    <t>п59(n+1) – п59(n)</t>
  </si>
  <si>
    <t>E.2.</t>
  </si>
  <si>
    <t>Динамика количества общественного транспорта, регулирование тарифов на услуги по перевозке на котором осуществляется субъектом Российской Федерации,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</si>
  <si>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п60(n+1) – п60(n)</t>
  </si>
  <si>
    <t>Формулы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</si>
  <si>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РЦП</t>
  </si>
  <si>
    <t xml:space="preserve">Расход ТЭ бюджетных учреждений государственной формы собственности, расчеты за которую осуществляются с использованием приборов учета </t>
  </si>
  <si>
    <t>Гкал</t>
  </si>
  <si>
    <t xml:space="preserve">Площадь бюджетных учреждений государственной формы собственности, в которых расчеты за ТЭ осуществляют с использованием приборов учета    </t>
  </si>
  <si>
    <t>кв.м</t>
  </si>
  <si>
    <t>Расход ТЭ бюджетных учреждений государственной формы собственности, расчеты за которую осуществляются с применением расчетных способов</t>
  </si>
  <si>
    <t>Площадь бюджетных учреждений государственной формы собственности, в которых расчеты за ТЭ осуществляют с применением расчетных способов</t>
  </si>
  <si>
    <t xml:space="preserve">Расход воды на снабжение бюджетных учреждений государственной формы собственности, расчеты за которую осуществляются с использованием приборов учета </t>
  </si>
  <si>
    <t>куб.м</t>
  </si>
  <si>
    <t>Численность сотрудников бюджетных учреждений государственной формы собственности, в которых расчеты за расход воды осуществляются с использованием приборов учета</t>
  </si>
  <si>
    <t>чел.</t>
  </si>
  <si>
    <t>Расход воды на снабжение бюджетных учреждений государственной формы собственности, расчеты за которую осуществляются с применением расчетных способов</t>
  </si>
  <si>
    <t>Численность сотрудников бюджетных учреждений государственной формы собственности, в которых расчеты за расход воды осуществляются с применением расчетных способов</t>
  </si>
  <si>
    <t>Расход ЭЭ на обеспечение бюджетных учреждений государственной формы собственности, расчеты за которую осуществляются с использованием приборов учета</t>
  </si>
  <si>
    <t>Численность штатных сотрудников бюджетных учреждений государственной формы собственности, в которых расчеты за ЭЭ осуществляются с использованием приборов учета</t>
  </si>
  <si>
    <t>Расход ЭЭ на обеспечение бюджетных учреждений государственной формы собственности, расчеты за которую осуществляются с применением расчетных способов</t>
  </si>
  <si>
    <t>Численность сотрудников бюджетных учреждений государственной формы собственности, в которых расчеты за ЭЭ осуществляются с применением расчетных способов</t>
  </si>
  <si>
    <t>Удельный расход топлива на выработку ЭЭ тепловыми электростанциями</t>
  </si>
  <si>
    <t xml:space="preserve">Удельный расход топлива на выработку ТЭ </t>
  </si>
  <si>
    <t>т 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</si>
  <si>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</si>
  <si>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</si>
  <si>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</si>
  <si>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</si>
  <si>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</si>
  <si>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t>(п10(n)/п6(n)*100%</t>
  </si>
  <si>
    <t>(п15(n)/п16(n)*100%</t>
  </si>
  <si>
    <t>(п18(n)/п17(n)*100%</t>
  </si>
  <si>
    <t>_______________________</t>
  </si>
  <si>
    <t>_________________________________</t>
  </si>
  <si>
    <t>Доля государственных заказчиков в общем объеме государственных заказчиков, с которыми заключены энергосервисные договоры</t>
  </si>
  <si>
    <t>Валовой региональный продукт, в ценах 2007 года</t>
  </si>
  <si>
    <t>млрд руб.</t>
  </si>
  <si>
    <t>Количество государственных заказчиков, заключивших энергосервисные договоры (контракты)</t>
  </si>
  <si>
    <t>Объем ЭЭ,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</si>
  <si>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млн руб.</t>
  </si>
  <si>
    <t>(п28(n)/п27(2007)*100%</t>
  </si>
  <si>
    <t>В.3.(n)∙п.12 (2007)</t>
  </si>
  <si>
    <t>В.7.(n)*п14(2007)</t>
  </si>
  <si>
    <t>Приложение № 9</t>
  </si>
  <si>
    <t>п29(n+1) – п29(2007)</t>
  </si>
  <si>
    <t>п58(n)</t>
  </si>
  <si>
    <t xml:space="preserve"> </t>
  </si>
  <si>
    <t>Уголь</t>
  </si>
  <si>
    <t>Дрова и прочие виды топлива</t>
  </si>
  <si>
    <t>Нефте-продукты</t>
  </si>
  <si>
    <t>Природ-ный газ</t>
  </si>
  <si>
    <t>Электро-энергия</t>
  </si>
  <si>
    <t>Тепло-энергия</t>
  </si>
  <si>
    <t>ВСЕГО</t>
  </si>
  <si>
    <t>Остаток на начало года</t>
  </si>
  <si>
    <t>Производство энергоресурсов</t>
  </si>
  <si>
    <t>Ввоз</t>
  </si>
  <si>
    <t>Вывоз</t>
  </si>
  <si>
    <t>Всего энергоресурсов</t>
  </si>
  <si>
    <t>Трансформация и энергетический сектор</t>
  </si>
  <si>
    <t>Производство электро-, теплоэнергии на ТЭС и ДЭС</t>
  </si>
  <si>
    <t>Производство теплоэнергии на котельных</t>
  </si>
  <si>
    <t>Производственные нужды</t>
  </si>
  <si>
    <t>Собственные нужды и потери</t>
  </si>
  <si>
    <t>Отпущено населению</t>
  </si>
  <si>
    <t>Остаток на конец года</t>
  </si>
  <si>
    <t>Наименование государственной программы, подпрограммы государственной программы, основного мероприятия</t>
  </si>
  <si>
    <t>Источники финансирования</t>
  </si>
  <si>
    <t>Базовый вариант, тыс. руб.</t>
  </si>
  <si>
    <t>Интенсивный вариант, тыс. руб.</t>
  </si>
  <si>
    <t xml:space="preserve">Разница между интенсивным и базовым вариантами, тыс.руб. </t>
  </si>
  <si>
    <t>Энергосбережение и повышение энергетической эффективности в бюджетном секторе</t>
  </si>
  <si>
    <t>ВСЕГО:</t>
  </si>
  <si>
    <t>федеральный бюджет</t>
  </si>
  <si>
    <t>государственный бюджет Республики Саха (Якутия)</t>
  </si>
  <si>
    <t>Энергосбережение и повышение энергетической эффективности в промышленном секторе</t>
  </si>
  <si>
    <t>Энергосбережение и повышение энергетической эффективности в строительном комплексе</t>
  </si>
  <si>
    <t>Энергосбережение и повышение энергетической эффективности в жилищном фонде</t>
  </si>
  <si>
    <t>Итоговый результат по всем подпрограммам</t>
  </si>
  <si>
    <t>тыс. руб.</t>
  </si>
  <si>
    <t>Наименование мероприятия</t>
  </si>
  <si>
    <t>Всего:</t>
  </si>
  <si>
    <t>Местные бюджеты</t>
  </si>
  <si>
    <t>Инвестиционная надбавка</t>
  </si>
  <si>
    <t>бюджетные кредиты</t>
  </si>
  <si>
    <t>государственные гарантии</t>
  </si>
  <si>
    <t>бюджетные ассигнования</t>
  </si>
  <si>
    <t>2012 год</t>
  </si>
  <si>
    <t>2013 год</t>
  </si>
  <si>
    <t>2014 год</t>
  </si>
  <si>
    <t>2015 год</t>
  </si>
  <si>
    <t>2016 год</t>
  </si>
  <si>
    <t>Подпрограмма № 1: Энергосбережение и повышение энергетической эффективности в бюджетном секторе</t>
  </si>
  <si>
    <t>Мероприятие №1: Организационные мероприятия энергосбережения бюджетных учреждений (установка прибров учета, энергоаудит)</t>
  </si>
  <si>
    <t>Подпрограмма №2: Энергосбережение и повышение энергетической эффективности в промышленном секторе</t>
  </si>
  <si>
    <t>Задача №1: Снижение удельного расхода топливно-энергетических ресурсов на предприятиях электроэнергетики</t>
  </si>
  <si>
    <t xml:space="preserve">Мероприятие №1: Организационные мероприятия энергосбережения </t>
  </si>
  <si>
    <t>Мероприятие №3: Совершенствование схем электроснабжения</t>
  </si>
  <si>
    <t>Мероприятие №4: Использование нетрадиционных источников энергии</t>
  </si>
  <si>
    <t>Мероприятие №5: Внедрение АСУТП, АСТУЭ и АСКУЭ для оптимизации потребления энергоресурсов</t>
  </si>
  <si>
    <t>Мероприятие №6: Реализация мероприятияй по развитию и реконструкции распредсетей 0,4-10 кВ</t>
  </si>
  <si>
    <t>Мероприятие №7: Реконструкция и модернизация энергоиспользующего оборудования (электроэнергия)</t>
  </si>
  <si>
    <t>Мероприятие №8: Внедрение новых технологий и оборудования (электроэнергия)</t>
  </si>
  <si>
    <t>Мероприятие №9: Внедрение новых технологий и оборудования (теплоэнергия)</t>
  </si>
  <si>
    <t>Мероприятие №10: Реализация программы модернизации средств учета бытовых мелкомоторных потребителей</t>
  </si>
  <si>
    <t>Мероприятие №11: Проведение энергоаудита</t>
  </si>
  <si>
    <t>Мероприятие №12: Установка приборов учета топливных ресурсов</t>
  </si>
  <si>
    <t>Мероприятие №13: Организация и подготовка необходимых организационно-технических, учебно-методических материалов и обучение специалистов филиалов по нормативному и метрологическому обеспечению энергосбережения</t>
  </si>
  <si>
    <t>Мероприятие №14: Оптимизация режимов потребления энергоресурсов (электроэнергия)</t>
  </si>
  <si>
    <t>Мероприятие №15: Замена ответвлений в жилые дома на СИП</t>
  </si>
  <si>
    <t>Мероприятие №16: Замена перегруженных трансформаторов</t>
  </si>
  <si>
    <t>Задача №2: Снижение удельного расхода топливно-энергетических ресурсов на предприятиях коммунального комплекса</t>
  </si>
  <si>
    <t>Мероприятие №1: Приобретение и установка частотных преобразователей на водоочистных установках</t>
  </si>
  <si>
    <t>Мероприятие №2: Автоматизация КНС с установкой насосов ФЛЮГТ</t>
  </si>
  <si>
    <t>Мероприятие №3: Приобретение оборудования и монтаж АСУ ТП водоснабжения</t>
  </si>
  <si>
    <t>Мероприятие №4: Внедрение тепловых насосов на КНС</t>
  </si>
  <si>
    <t>Мероприятие №5: Внедрение автоматизированной системы сбора данных приборов учета на водоснабжении</t>
  </si>
  <si>
    <t>Мероприятие №6: Модернизация котлового оборудования на котельных</t>
  </si>
  <si>
    <t>Мероприятие №7: Модернизация тепловых сетей</t>
  </si>
  <si>
    <t>Мероприятие №8: Перевод котельных на другие виды топлива</t>
  </si>
  <si>
    <t>Мероприятие №9: Установка приборов учета тепла и воды на котельных</t>
  </si>
  <si>
    <t>Задача №3: Повышение энергетической эффективности на предприятиях сельского хозяйства</t>
  </si>
  <si>
    <t>Мероприятие №1: Повышение топливной экономичности парка тракторов</t>
  </si>
  <si>
    <t>Мероприятие №2: Льготы по кредитам для финансирования типовых проектов в сельском хозяйстве</t>
  </si>
  <si>
    <t>Подпрограмма №3: Энергосбережение и повышение энергетической эффективности в строительном комплексе</t>
  </si>
  <si>
    <t>Мероприятие №1: Разработка рекомендаций по проектированию энергоэффективных жилых и общественных зданий в климатических условиях Севера</t>
  </si>
  <si>
    <t>Мероприятие №1: Разработка руководства по проектированию и прокладке бесканальных траншейных трубопроводов отопления и горячего водоснабжения из теплоизолированных полиэтиленовых труб в районах распространения вечномерзлых грунтов</t>
  </si>
  <si>
    <t>Подпрограмма №4: Энергосбережение и повышение энергетической эффективности в жилищном фонде</t>
  </si>
  <si>
    <t>Задача №1: Организационные мероприятия</t>
  </si>
  <si>
    <t>Мероприятие №1: Установка приборов учета используемых энергоресурсов</t>
  </si>
  <si>
    <t>Задача №2: Повышение энергоэффективности многоквартирных домов</t>
  </si>
  <si>
    <t>Управление подпрограммой</t>
  </si>
  <si>
    <t>Приложение №6</t>
  </si>
  <si>
    <t>Внебюджетные средства, в т.ч. инвестиционная надбавка</t>
  </si>
  <si>
    <t>Задача №3: Повышение энергетической эффективности в муниципальных образованиях</t>
  </si>
  <si>
    <t>Мероприятие №1: Софинансирование мунициапальных программ по энергосбережению и повышению энергетической эффективности</t>
  </si>
  <si>
    <t>к  государственной программе Республики Саха (Якутия) «Энергоэффективная экономика
 на 2012-2016 годы и на период до 2020 года"</t>
  </si>
  <si>
    <t xml:space="preserve">Мероприятие №1: Организационные и технические мероприятия энергосбережения </t>
  </si>
  <si>
    <t>Мероприятие №1: Проведение научно-практических конференций и семинаров по энергосбережению при производстве строительных материалов</t>
  </si>
  <si>
    <t>к  государственной программе Республики Саха (Якутия) "Энергоэффективная экономика 
 на 2012-2016 годы и на период до 2020 года"</t>
  </si>
  <si>
    <t xml:space="preserve"> в том числе по годам:</t>
  </si>
  <si>
    <t>2017-2020 годы</t>
  </si>
  <si>
    <t>2017-2020</t>
  </si>
  <si>
    <t>в том числе по годам:</t>
  </si>
  <si>
    <t>2012-2020 годы</t>
  </si>
  <si>
    <t>2012-2016 годы</t>
  </si>
  <si>
    <t>всего</t>
  </si>
  <si>
    <t>Мероприятие №2: Разработка на конкурсной основе и строительство энергоресурсосберегающего дома на селе</t>
  </si>
  <si>
    <t xml:space="preserve">Топливно-энергетический баланс Республики Саха (Якутия) на  2010 год, тыс. т у.т. </t>
  </si>
  <si>
    <t>Нефть, включая газовый конденсат</t>
  </si>
  <si>
    <t xml:space="preserve">Приложение № 5
к государственной программе Республики Саха (Якутия) «Энергоэффективная экономика
 на 2012-2016 годы и на период до 2020 года" </t>
  </si>
  <si>
    <t>Система программных мероприятий государственной программы Республики Саха (Якутия) 
"Энергоэффективная экономика на 2012-2016 годы и на период до 2020 года" по базовому варианту реализации программы</t>
  </si>
  <si>
    <t>в том числе:</t>
  </si>
  <si>
    <t>Феде-ральный бюджет</t>
  </si>
  <si>
    <t>Государ-ственный бюджет РС(Я)</t>
  </si>
  <si>
    <t>Задача №1: Снижение потребления энергоресурсов и воды объектов бюджетных учреждений в течение пяти лет не менее чем на пятнадцать процентов от объема фактически потребленного им в 2009 году</t>
  </si>
  <si>
    <t>Задача № 1: Снижение потребления энергоресурсов и воды объектов бюджетных учреждений в течение пяти лет не менее чем на пятнадцать процентов от объема фактически потребленного им в 2009 году</t>
  </si>
  <si>
    <t>Подпрограмма № 2: Энергосбережение и повышение энергетической эффективности в промышленном секторе</t>
  </si>
  <si>
    <t>Мероприятие №2: Оптимизация режимов потребления энергоресурсов (электроэнергия)</t>
  </si>
  <si>
    <t>Задача №1: Совершенствование градостроительных, архитектурных и обьемно-планировочных решений зданий</t>
  </si>
  <si>
    <t xml:space="preserve">Мероприятие №2: Разработка нормативного документа по усовершенствованию отопления и вентиляции жилых и общественных зданий в климатических условиях Республики Саха (Якутия) </t>
  </si>
  <si>
    <t>Задача №3: Энергоресурсосбережение в промышленности строительных материалов и изделий</t>
  </si>
  <si>
    <t>Мероприятие №2: Разработка альбома конструктивных решений дополнительной  теплоизоляции серий жилых домов массовой застройки, в т.ч. сборно-щитовых деревянных</t>
  </si>
  <si>
    <t>Мероприятие №1: Проведение энергоэффективного капитального ремонта МКД</t>
  </si>
  <si>
    <t>________________________</t>
  </si>
  <si>
    <t xml:space="preserve">к государственной программе Республики Саха (Якутия) 
«Энергоэффективная экономика
 на 2012-2016 годы и на период до 2020 года" </t>
  </si>
  <si>
    <t>Внебюд-жетные средства, в т.ч. инвес-тиционная надбавка</t>
  </si>
  <si>
    <t>Система программных мероприятий государственной программы Республики Саха (Якутия) 
"Энергоэффективная экономика на 2012-2016 годы и на период до 2020 года" по интенсивному варианту реализации программы</t>
  </si>
  <si>
    <t>Задача №2: Внедрение энергоресурсосберегающих инженерных систем зданий и сооружений</t>
  </si>
  <si>
    <t>Приложение № 7</t>
  </si>
  <si>
    <t>внебюджетные источники, в т.ч. инвестиционная надбавка</t>
  </si>
  <si>
    <t xml:space="preserve">внебюджетные источники, в т.ч. инвестиционная надбавка </t>
  </si>
  <si>
    <t xml:space="preserve">местные бюджеты </t>
  </si>
  <si>
    <t>Мероприятие №6: Реализация мероприятияй по развитию и реконструкции распределительных сетей 0,4-10 кВ</t>
  </si>
  <si>
    <t>Приложение № 12</t>
  </si>
  <si>
    <t>Целевые показатели энергосбережения и повышения энергетической эффективности в Республике Саха (Якутия) по базовому варианту</t>
  </si>
  <si>
    <t>Ед. изм.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</si>
  <si>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потребляемого природного газа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</si>
  <si>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в РС(Я)</t>
  </si>
  <si>
    <t>тыс.кВтч</t>
  </si>
  <si>
    <t>тыс.руб.</t>
  </si>
  <si>
    <t>тыс.Гкал</t>
  </si>
  <si>
    <t>тыс.куб.м</t>
  </si>
  <si>
    <t>Доля расходов бюджета РС(Я) на обеспечение энергетическими ресурсами БУ (для сопоставимых условий)</t>
  </si>
  <si>
    <t>Доля расходов бюджета РС(Я) на обеспечение энергетическими ресурсами БУ (для фактических условий)</t>
  </si>
  <si>
    <t>Динамика изменения расходов бюджета РС(Я) на обеспечение энергетическими ресурсами БУ (для фактических условий)</t>
  </si>
  <si>
    <t>Динамика изменения расходов бюджета РС(Я)  на предоставление субсидий организациям коммунального комплекса на приобретение топлива</t>
  </si>
  <si>
    <t>Доля расходов бюджета РС(Я) на предоставление субсидий организациям коммунального комплекса на приобретение топлива</t>
  </si>
  <si>
    <t>Динамика расходов бюджета РС(Я) на предоставление субсидий организациям коммунального комплекса на приобретение топлива</t>
  </si>
  <si>
    <t>Доля БУ, финансируемых за счет бюджета РС(Я), в общем объеме БУ, в отношении которых проведено обязательное энергетическое обследование</t>
  </si>
  <si>
    <t>Удельные расходы бюджета РС(Я) на предоставление социальной поддержки гражданам по оплате жилого помещения и коммунальных услуг на 1 чел.</t>
  </si>
  <si>
    <t>тыс.руб./чел</t>
  </si>
  <si>
    <t>Группа E Целевые показатели в области энергосбережения и повышения энергетической эффективности в транспортном комплексе</t>
  </si>
  <si>
    <t>к  государственной программе Республики Саха (Якутия) «Энергоэффективная экономика
 на 2012-2016 годы  и на период до 2020 года"</t>
  </si>
  <si>
    <t>Индикаторы расчета целевых показателей энергосбережения и повышения энергетической эффективности в Республике Саха (Якутия) по базовому варианту</t>
  </si>
  <si>
    <t>Ед.изм.</t>
  </si>
  <si>
    <t>тыс.т у.т.</t>
  </si>
  <si>
    <t>руб./ кВтч</t>
  </si>
  <si>
    <t>руб./ тыс.куб.м</t>
  </si>
  <si>
    <t>Общий объем энергетических ресурсов, производимых на территории РС(Я)</t>
  </si>
  <si>
    <t>тыс.кВт∙ч</t>
  </si>
  <si>
    <t>Бюджет РС(Я)</t>
  </si>
  <si>
    <t>Расходы бюджета РС(Я) на обеспечение энергетическими ресурсами БУ</t>
  </si>
  <si>
    <t>Расходы бюджета РС(Я) на предоставление субсидий организациям коммунального комплекса на приобретение топлива</t>
  </si>
  <si>
    <t>Количество БУ, финансируемых за счет бюджета РС(Я), в отношении которых проведено обязательное энергетическое обследование</t>
  </si>
  <si>
    <t xml:space="preserve">Расходы бюджета РС(Я) на предоставление социальной поддержки гражданам по оплате жилого помещения и коммунальных услуг </t>
  </si>
  <si>
    <t>млн.руб.</t>
  </si>
  <si>
    <t>тыс.чел.</t>
  </si>
  <si>
    <t>кВтч</t>
  </si>
  <si>
    <t>т у.т./кВтч</t>
  </si>
  <si>
    <t>Приложение №10</t>
  </si>
  <si>
    <t>Целевые показатели энергосбережения и повышения энергетической эффективности в Республике Саха (Якутия) по интенсивному варианту</t>
  </si>
  <si>
    <t>(п58(n)/п57(n)* 100%</t>
  </si>
  <si>
    <t>Приложение № 11</t>
  </si>
  <si>
    <t>Индикаторы расчета целевых показателей энергосбережения и повышения энергетической эффективности в Республике Саха (Якутия) по интенсивному варианту</t>
  </si>
  <si>
    <t>п28(n+1) – п28(2007)</t>
  </si>
  <si>
    <t>Продолжение приложения № 7</t>
  </si>
  <si>
    <t>и на период до 2020 года" в разрезе источников финансирования</t>
  </si>
  <si>
    <t>к государственной программе Республики Саха (Якутия) «Энергоэффективная экономика  на 2012-2016 годы и на период до 2020 года"</t>
  </si>
  <si>
    <t xml:space="preserve">программы Республики Саха (Якутия) "Энергоэффективная экономика на 2012-2016 годы </t>
  </si>
  <si>
    <t xml:space="preserve">Прогнозная оценка необходимых ресурсов на реализацию государственной </t>
  </si>
  <si>
    <t xml:space="preserve">                                    _________________________</t>
  </si>
  <si>
    <t>к  государственной программе Республики Саха (Якутия) «Энергоэффективная экономика  на 2012-2016 годы и на период до 2020 года"</t>
  </si>
  <si>
    <t>Приложение №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</si>
</sst>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.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color indexed="8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b/>
      <sz val="10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57">
    <xf numFmtId="0" fontId="0" fillId="0" borderId="0" xfId="0" applyAlignment="1">
      <alignment/>
    </xf>
    <xf numFmtId="164" fontId="5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6" fontId="11" fillId="24" borderId="11" xfId="0" applyNumberFormat="1" applyFont="1" applyFill="1" applyBorder="1" applyAlignment="1">
      <alignment horizontal="center" vertical="center" wrapText="1"/>
    </xf>
    <xf numFmtId="164" fontId="11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165" fontId="15" fillId="0" borderId="10" xfId="0" applyNumberFormat="1" applyFont="1" applyBorder="1" applyAlignment="1">
      <alignment vertical="center"/>
    </xf>
    <xf numFmtId="165" fontId="15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right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64" fontId="27" fillId="0" borderId="22" xfId="0" applyNumberFormat="1" applyFont="1" applyFill="1" applyBorder="1" applyAlignment="1">
      <alignment horizontal="center"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 indent="1"/>
    </xf>
    <xf numFmtId="0" fontId="24" fillId="0" borderId="0" xfId="0" applyFont="1" applyFill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164" fontId="24" fillId="0" borderId="23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center" wrapText="1"/>
    </xf>
    <xf numFmtId="164" fontId="26" fillId="0" borderId="1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4" fontId="27" fillId="0" borderId="2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horizontal="center" wrapText="1"/>
    </xf>
    <xf numFmtId="164" fontId="27" fillId="0" borderId="1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7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164" fontId="11" fillId="0" borderId="11" xfId="0" applyNumberFormat="1" applyFont="1" applyFill="1" applyBorder="1" applyAlignment="1">
      <alignment horizontal="center" wrapText="1"/>
    </xf>
    <xf numFmtId="164" fontId="27" fillId="0" borderId="26" xfId="0" applyNumberFormat="1" applyFont="1" applyFill="1" applyBorder="1" applyAlignment="1">
      <alignment horizont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wrapText="1"/>
    </xf>
    <xf numFmtId="164" fontId="27" fillId="0" borderId="27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2" fillId="0" borderId="11" xfId="0" applyFont="1" applyFill="1" applyBorder="1" applyAlignment="1">
      <alignment horizontal="justify"/>
    </xf>
    <xf numFmtId="0" fontId="26" fillId="0" borderId="11" xfId="0" applyFont="1" applyFill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/>
    </xf>
    <xf numFmtId="0" fontId="27" fillId="0" borderId="11" xfId="0" applyFont="1" applyFill="1" applyBorder="1" applyAlignment="1">
      <alignment horizontal="justify" wrapText="1"/>
    </xf>
    <xf numFmtId="0" fontId="27" fillId="0" borderId="25" xfId="0" applyFont="1" applyFill="1" applyBorder="1" applyAlignment="1">
      <alignment horizontal="justify"/>
    </xf>
    <xf numFmtId="0" fontId="27" fillId="0" borderId="22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vertical="center"/>
    </xf>
    <xf numFmtId="164" fontId="15" fillId="0" borderId="2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vertical="center"/>
    </xf>
    <xf numFmtId="167" fontId="5" fillId="0" borderId="20" xfId="0" applyNumberFormat="1" applyFont="1" applyFill="1" applyBorder="1" applyAlignment="1">
      <alignment vertical="center"/>
    </xf>
    <xf numFmtId="167" fontId="15" fillId="0" borderId="2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Object 1"/>
        <xdr:cNvSpPr>
          <a:spLocks/>
        </xdr:cNvSpPr>
      </xdr:nvSpPr>
      <xdr:spPr>
        <a:xfrm>
          <a:off x="171450" y="5943600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" name="Object 1"/>
        <xdr:cNvSpPr>
          <a:spLocks/>
        </xdr:cNvSpPr>
      </xdr:nvSpPr>
      <xdr:spPr>
        <a:xfrm>
          <a:off x="171450" y="5943600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9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9.00390625" defaultRowHeight="12.75"/>
  <cols>
    <col min="1" max="1" width="5.375" style="75" customWidth="1"/>
    <col min="2" max="2" width="44.375" style="120" customWidth="1"/>
    <col min="3" max="3" width="21.375" style="75" customWidth="1"/>
    <col min="4" max="4" width="11.25390625" style="75" customWidth="1"/>
    <col min="5" max="5" width="15.00390625" style="75" customWidth="1"/>
    <col min="6" max="6" width="11.125" style="75" customWidth="1"/>
    <col min="7" max="7" width="15.25390625" style="75" customWidth="1"/>
    <col min="8" max="8" width="13.75390625" style="75" customWidth="1"/>
    <col min="9" max="9" width="11.125" style="75" customWidth="1"/>
    <col min="10" max="10" width="15.375" style="75" customWidth="1"/>
    <col min="11" max="12" width="9.125" style="75" hidden="1" customWidth="1"/>
    <col min="13" max="16384" width="9.125" style="75" customWidth="1"/>
  </cols>
  <sheetData>
    <row r="1" spans="8:10" ht="74.25" customHeight="1">
      <c r="H1" s="184" t="s">
        <v>333</v>
      </c>
      <c r="I1" s="185"/>
      <c r="J1" s="185"/>
    </row>
    <row r="2" spans="9:10" ht="65.25" customHeight="1" hidden="1">
      <c r="I2" s="184" t="s">
        <v>322</v>
      </c>
      <c r="J2" s="185"/>
    </row>
    <row r="3" spans="1:10" ht="44.25" customHeight="1">
      <c r="A3" s="187" t="s">
        <v>334</v>
      </c>
      <c r="B3" s="187"/>
      <c r="C3" s="187"/>
      <c r="D3" s="187"/>
      <c r="E3" s="187"/>
      <c r="F3" s="187"/>
      <c r="G3" s="187"/>
      <c r="H3" s="187"/>
      <c r="I3" s="187"/>
      <c r="J3" s="187"/>
    </row>
    <row r="4" ht="12.75">
      <c r="J4" s="95" t="s">
        <v>262</v>
      </c>
    </row>
    <row r="5" spans="1:10" ht="12.75" customHeight="1">
      <c r="A5" s="176"/>
      <c r="B5" s="177" t="s">
        <v>263</v>
      </c>
      <c r="C5" s="181" t="s">
        <v>264</v>
      </c>
      <c r="D5" s="181" t="s">
        <v>336</v>
      </c>
      <c r="E5" s="182" t="s">
        <v>337</v>
      </c>
      <c r="F5" s="186" t="s">
        <v>335</v>
      </c>
      <c r="G5" s="186"/>
      <c r="H5" s="186"/>
      <c r="I5" s="182" t="s">
        <v>265</v>
      </c>
      <c r="J5" s="182" t="s">
        <v>316</v>
      </c>
    </row>
    <row r="6" spans="1:10" ht="36.75" customHeight="1">
      <c r="A6" s="176"/>
      <c r="B6" s="178"/>
      <c r="C6" s="181"/>
      <c r="D6" s="181"/>
      <c r="E6" s="183"/>
      <c r="F6" s="119" t="s">
        <v>267</v>
      </c>
      <c r="G6" s="119" t="s">
        <v>268</v>
      </c>
      <c r="H6" s="119" t="s">
        <v>269</v>
      </c>
      <c r="I6" s="183"/>
      <c r="J6" s="183"/>
    </row>
    <row r="7" spans="1:10" ht="12.75">
      <c r="A7" s="5"/>
      <c r="B7" s="121" t="s">
        <v>255</v>
      </c>
      <c r="C7" s="96">
        <f aca="true" t="shared" si="0" ref="C7:J7">C9+C10+C11+C12+C13+C14</f>
        <v>13237137.647</v>
      </c>
      <c r="D7" s="96">
        <f t="shared" si="0"/>
        <v>78776.81700000001</v>
      </c>
      <c r="E7" s="96">
        <f t="shared" si="0"/>
        <v>3899541.3000000003</v>
      </c>
      <c r="F7" s="96">
        <f t="shared" si="0"/>
        <v>0</v>
      </c>
      <c r="G7" s="96">
        <f t="shared" si="0"/>
        <v>0</v>
      </c>
      <c r="H7" s="96">
        <f t="shared" si="0"/>
        <v>3899541.3000000003</v>
      </c>
      <c r="I7" s="96">
        <f t="shared" si="0"/>
        <v>530391.66</v>
      </c>
      <c r="J7" s="96">
        <f t="shared" si="0"/>
        <v>8728427.87</v>
      </c>
    </row>
    <row r="8" spans="1:10" ht="12.75">
      <c r="A8" s="5"/>
      <c r="B8" s="121" t="s">
        <v>323</v>
      </c>
      <c r="C8" s="96"/>
      <c r="D8" s="96"/>
      <c r="E8" s="96"/>
      <c r="F8" s="96"/>
      <c r="G8" s="96"/>
      <c r="H8" s="96"/>
      <c r="I8" s="96"/>
      <c r="J8" s="96"/>
    </row>
    <row r="9" spans="1:10" ht="12.75">
      <c r="A9" s="5"/>
      <c r="B9" s="121" t="s">
        <v>270</v>
      </c>
      <c r="C9" s="96">
        <f aca="true" t="shared" si="1" ref="C9:C14">C33+C286+C233+C17</f>
        <v>2470223.647</v>
      </c>
      <c r="D9" s="96">
        <f>D17+D33+D233+D286</f>
        <v>65921.217</v>
      </c>
      <c r="E9" s="96">
        <f aca="true" t="shared" si="2" ref="E9:E14">F9+G9+H9</f>
        <v>477180</v>
      </c>
      <c r="F9" s="96">
        <f aca="true" t="shared" si="3" ref="F9:J14">F33+F286+F233+F17</f>
        <v>0</v>
      </c>
      <c r="G9" s="96">
        <f t="shared" si="3"/>
        <v>0</v>
      </c>
      <c r="H9" s="96">
        <f t="shared" si="3"/>
        <v>477180</v>
      </c>
      <c r="I9" s="96">
        <f t="shared" si="3"/>
        <v>52103.3</v>
      </c>
      <c r="J9" s="96">
        <f t="shared" si="3"/>
        <v>1875019.13</v>
      </c>
    </row>
    <row r="10" spans="1:10" ht="12.75">
      <c r="A10" s="5"/>
      <c r="B10" s="121" t="s">
        <v>271</v>
      </c>
      <c r="C10" s="96">
        <f t="shared" si="1"/>
        <v>2395767.7660000003</v>
      </c>
      <c r="D10" s="96">
        <f>D34+D287+D234+D18</f>
        <v>1476.8</v>
      </c>
      <c r="E10" s="96">
        <f t="shared" si="2"/>
        <v>443288.8</v>
      </c>
      <c r="F10" s="96">
        <f t="shared" si="3"/>
        <v>0</v>
      </c>
      <c r="G10" s="96">
        <f t="shared" si="3"/>
        <v>0</v>
      </c>
      <c r="H10" s="96">
        <f t="shared" si="3"/>
        <v>443288.8</v>
      </c>
      <c r="I10" s="96">
        <f t="shared" si="3"/>
        <v>55177.4</v>
      </c>
      <c r="J10" s="96">
        <f t="shared" si="3"/>
        <v>1895824.766</v>
      </c>
    </row>
    <row r="11" spans="1:10" ht="12.75">
      <c r="A11" s="5"/>
      <c r="B11" s="121" t="s">
        <v>272</v>
      </c>
      <c r="C11" s="96">
        <f t="shared" si="1"/>
        <v>1314424.5999999999</v>
      </c>
      <c r="D11" s="96">
        <f>D35+D288+D235+D19</f>
        <v>1625.7</v>
      </c>
      <c r="E11" s="96">
        <f t="shared" si="2"/>
        <v>444222.3</v>
      </c>
      <c r="F11" s="96">
        <f t="shared" si="3"/>
        <v>0</v>
      </c>
      <c r="G11" s="96">
        <f t="shared" si="3"/>
        <v>0</v>
      </c>
      <c r="H11" s="96">
        <f t="shared" si="3"/>
        <v>444222.3</v>
      </c>
      <c r="I11" s="96">
        <f t="shared" si="3"/>
        <v>58046.6</v>
      </c>
      <c r="J11" s="96">
        <f t="shared" si="3"/>
        <v>810530</v>
      </c>
    </row>
    <row r="12" spans="1:10" ht="12.75">
      <c r="A12" s="5"/>
      <c r="B12" s="121" t="s">
        <v>273</v>
      </c>
      <c r="C12" s="96">
        <f t="shared" si="1"/>
        <v>1204802.987</v>
      </c>
      <c r="D12" s="96">
        <f>D36+D289+D236+D20</f>
        <v>1786.5</v>
      </c>
      <c r="E12" s="96">
        <f t="shared" si="2"/>
        <v>427429.5</v>
      </c>
      <c r="F12" s="96">
        <f t="shared" si="3"/>
        <v>0</v>
      </c>
      <c r="G12" s="96">
        <f t="shared" si="3"/>
        <v>0</v>
      </c>
      <c r="H12" s="96">
        <f t="shared" si="3"/>
        <v>427429.5</v>
      </c>
      <c r="I12" s="96">
        <f t="shared" si="3"/>
        <v>61007</v>
      </c>
      <c r="J12" s="96">
        <f t="shared" si="3"/>
        <v>714579.987</v>
      </c>
    </row>
    <row r="13" spans="1:10" ht="12.75">
      <c r="A13" s="5"/>
      <c r="B13" s="121" t="s">
        <v>274</v>
      </c>
      <c r="C13" s="96">
        <f t="shared" si="1"/>
        <v>1223058.647</v>
      </c>
      <c r="D13" s="96">
        <f>D37+D290+D237+D21</f>
        <v>1966.6</v>
      </c>
      <c r="E13" s="96">
        <f t="shared" si="2"/>
        <v>430360.7</v>
      </c>
      <c r="F13" s="96">
        <f t="shared" si="3"/>
        <v>0</v>
      </c>
      <c r="G13" s="96">
        <f t="shared" si="3"/>
        <v>0</v>
      </c>
      <c r="H13" s="96">
        <f t="shared" si="3"/>
        <v>430360.7</v>
      </c>
      <c r="I13" s="96">
        <f t="shared" si="3"/>
        <v>64057.36</v>
      </c>
      <c r="J13" s="96">
        <f t="shared" si="3"/>
        <v>726673.987</v>
      </c>
    </row>
    <row r="14" spans="1:10" ht="12.75">
      <c r="A14" s="5"/>
      <c r="B14" s="121" t="s">
        <v>324</v>
      </c>
      <c r="C14" s="96">
        <f t="shared" si="1"/>
        <v>4628860</v>
      </c>
      <c r="D14" s="96">
        <f>D38+D291+D238+D22</f>
        <v>6000</v>
      </c>
      <c r="E14" s="96">
        <f t="shared" si="2"/>
        <v>1677060</v>
      </c>
      <c r="F14" s="96">
        <f t="shared" si="3"/>
        <v>0</v>
      </c>
      <c r="G14" s="96">
        <f t="shared" si="3"/>
        <v>0</v>
      </c>
      <c r="H14" s="96">
        <f t="shared" si="3"/>
        <v>1677060</v>
      </c>
      <c r="I14" s="96">
        <f t="shared" si="3"/>
        <v>240000</v>
      </c>
      <c r="J14" s="96">
        <f t="shared" si="3"/>
        <v>2705800</v>
      </c>
    </row>
    <row r="15" spans="1:10" ht="38.25">
      <c r="A15" s="5">
        <v>1</v>
      </c>
      <c r="B15" s="122" t="s">
        <v>275</v>
      </c>
      <c r="C15" s="97">
        <f>C23</f>
        <v>45170.1</v>
      </c>
      <c r="D15" s="97">
        <f aca="true" t="shared" si="4" ref="D15:J15">D23</f>
        <v>0</v>
      </c>
      <c r="E15" s="97">
        <f t="shared" si="4"/>
        <v>45170.1</v>
      </c>
      <c r="F15" s="97">
        <f t="shared" si="4"/>
        <v>0</v>
      </c>
      <c r="G15" s="97">
        <f t="shared" si="4"/>
        <v>0</v>
      </c>
      <c r="H15" s="97">
        <f t="shared" si="4"/>
        <v>45170.1</v>
      </c>
      <c r="I15" s="97">
        <f t="shared" si="4"/>
        <v>0</v>
      </c>
      <c r="J15" s="97">
        <f t="shared" si="4"/>
        <v>0</v>
      </c>
    </row>
    <row r="16" spans="1:10" ht="12.75">
      <c r="A16" s="5"/>
      <c r="B16" s="121" t="s">
        <v>323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5"/>
      <c r="B17" s="121" t="s">
        <v>270</v>
      </c>
      <c r="C17" s="96">
        <f>C25</f>
        <v>38250.9</v>
      </c>
      <c r="D17" s="96">
        <f aca="true" t="shared" si="5" ref="D17:J17">D25</f>
        <v>0</v>
      </c>
      <c r="E17" s="96">
        <f t="shared" si="5"/>
        <v>38250.9</v>
      </c>
      <c r="F17" s="96">
        <f t="shared" si="5"/>
        <v>0</v>
      </c>
      <c r="G17" s="96">
        <f t="shared" si="5"/>
        <v>0</v>
      </c>
      <c r="H17" s="96">
        <f t="shared" si="5"/>
        <v>38250.9</v>
      </c>
      <c r="I17" s="96">
        <f t="shared" si="5"/>
        <v>0</v>
      </c>
      <c r="J17" s="96">
        <f t="shared" si="5"/>
        <v>0</v>
      </c>
    </row>
    <row r="18" spans="1:10" ht="12.75">
      <c r="A18" s="5"/>
      <c r="B18" s="121" t="s">
        <v>271</v>
      </c>
      <c r="C18" s="96">
        <f aca="true" t="shared" si="6" ref="C18:J22">C26</f>
        <v>6919.2</v>
      </c>
      <c r="D18" s="96">
        <f t="shared" si="6"/>
        <v>0</v>
      </c>
      <c r="E18" s="96">
        <f t="shared" si="6"/>
        <v>6919.2</v>
      </c>
      <c r="F18" s="96">
        <f t="shared" si="6"/>
        <v>0</v>
      </c>
      <c r="G18" s="96">
        <f t="shared" si="6"/>
        <v>0</v>
      </c>
      <c r="H18" s="96">
        <f t="shared" si="6"/>
        <v>6919.2</v>
      </c>
      <c r="I18" s="96">
        <f t="shared" si="6"/>
        <v>0</v>
      </c>
      <c r="J18" s="96">
        <f t="shared" si="6"/>
        <v>0</v>
      </c>
    </row>
    <row r="19" spans="1:10" ht="12.75">
      <c r="A19" s="5"/>
      <c r="B19" s="121" t="s">
        <v>272</v>
      </c>
      <c r="C19" s="96">
        <f t="shared" si="6"/>
        <v>0</v>
      </c>
      <c r="D19" s="96">
        <f t="shared" si="6"/>
        <v>0</v>
      </c>
      <c r="E19" s="96">
        <f t="shared" si="6"/>
        <v>0</v>
      </c>
      <c r="F19" s="96">
        <f t="shared" si="6"/>
        <v>0</v>
      </c>
      <c r="G19" s="96">
        <f t="shared" si="6"/>
        <v>0</v>
      </c>
      <c r="H19" s="96">
        <f t="shared" si="6"/>
        <v>0</v>
      </c>
      <c r="I19" s="96">
        <f t="shared" si="6"/>
        <v>0</v>
      </c>
      <c r="J19" s="96">
        <f t="shared" si="6"/>
        <v>0</v>
      </c>
    </row>
    <row r="20" spans="1:10" ht="12.75">
      <c r="A20" s="5"/>
      <c r="B20" s="121" t="s">
        <v>273</v>
      </c>
      <c r="C20" s="96">
        <f t="shared" si="6"/>
        <v>0</v>
      </c>
      <c r="D20" s="96">
        <f t="shared" si="6"/>
        <v>0</v>
      </c>
      <c r="E20" s="96">
        <f t="shared" si="6"/>
        <v>0</v>
      </c>
      <c r="F20" s="96">
        <f t="shared" si="6"/>
        <v>0</v>
      </c>
      <c r="G20" s="96">
        <f t="shared" si="6"/>
        <v>0</v>
      </c>
      <c r="H20" s="96">
        <f t="shared" si="6"/>
        <v>0</v>
      </c>
      <c r="I20" s="96">
        <f t="shared" si="6"/>
        <v>0</v>
      </c>
      <c r="J20" s="96">
        <f t="shared" si="6"/>
        <v>0</v>
      </c>
    </row>
    <row r="21" spans="1:10" ht="12.75">
      <c r="A21" s="5"/>
      <c r="B21" s="121" t="s">
        <v>274</v>
      </c>
      <c r="C21" s="96">
        <f t="shared" si="6"/>
        <v>0</v>
      </c>
      <c r="D21" s="96">
        <f t="shared" si="6"/>
        <v>0</v>
      </c>
      <c r="E21" s="96">
        <f t="shared" si="6"/>
        <v>0</v>
      </c>
      <c r="F21" s="96">
        <f t="shared" si="6"/>
        <v>0</v>
      </c>
      <c r="G21" s="96">
        <f t="shared" si="6"/>
        <v>0</v>
      </c>
      <c r="H21" s="96">
        <f t="shared" si="6"/>
        <v>0</v>
      </c>
      <c r="I21" s="96">
        <f t="shared" si="6"/>
        <v>0</v>
      </c>
      <c r="J21" s="96">
        <f t="shared" si="6"/>
        <v>0</v>
      </c>
    </row>
    <row r="22" spans="1:10" ht="12.75">
      <c r="A22" s="5"/>
      <c r="B22" s="121" t="s">
        <v>324</v>
      </c>
      <c r="C22" s="96">
        <f t="shared" si="6"/>
        <v>0</v>
      </c>
      <c r="D22" s="96">
        <f t="shared" si="6"/>
        <v>0</v>
      </c>
      <c r="E22" s="96">
        <f t="shared" si="6"/>
        <v>0</v>
      </c>
      <c r="F22" s="96">
        <f t="shared" si="6"/>
        <v>0</v>
      </c>
      <c r="G22" s="96">
        <f t="shared" si="6"/>
        <v>0</v>
      </c>
      <c r="H22" s="96">
        <f t="shared" si="6"/>
        <v>0</v>
      </c>
      <c r="I22" s="96">
        <f t="shared" si="6"/>
        <v>0</v>
      </c>
      <c r="J22" s="96">
        <f t="shared" si="6"/>
        <v>0</v>
      </c>
    </row>
    <row r="23" spans="1:10" ht="51">
      <c r="A23" s="5"/>
      <c r="B23" s="123" t="s">
        <v>339</v>
      </c>
      <c r="C23" s="54">
        <f aca="true" t="shared" si="7" ref="C23:I23">C24</f>
        <v>45170.1</v>
      </c>
      <c r="D23" s="54">
        <f t="shared" si="7"/>
        <v>0</v>
      </c>
      <c r="E23" s="54">
        <f t="shared" si="7"/>
        <v>45170.1</v>
      </c>
      <c r="F23" s="54">
        <f t="shared" si="7"/>
        <v>0</v>
      </c>
      <c r="G23" s="54">
        <f t="shared" si="7"/>
        <v>0</v>
      </c>
      <c r="H23" s="54">
        <f t="shared" si="7"/>
        <v>45170.1</v>
      </c>
      <c r="I23" s="54">
        <f t="shared" si="7"/>
        <v>0</v>
      </c>
      <c r="J23" s="54">
        <f>J24</f>
        <v>0</v>
      </c>
    </row>
    <row r="24" spans="1:10" ht="25.5">
      <c r="A24" s="5"/>
      <c r="B24" s="123" t="s">
        <v>320</v>
      </c>
      <c r="C24" s="54">
        <f>C25+C26+C27+C28+C29</f>
        <v>45170.1</v>
      </c>
      <c r="D24" s="54">
        <v>0</v>
      </c>
      <c r="E24" s="54">
        <f aca="true" t="shared" si="8" ref="E24:J24">SUM(E25:E29)</f>
        <v>45170.1</v>
      </c>
      <c r="F24" s="54">
        <f t="shared" si="8"/>
        <v>0</v>
      </c>
      <c r="G24" s="54">
        <f t="shared" si="8"/>
        <v>0</v>
      </c>
      <c r="H24" s="54">
        <f t="shared" si="8"/>
        <v>45170.1</v>
      </c>
      <c r="I24" s="54">
        <f t="shared" si="8"/>
        <v>0</v>
      </c>
      <c r="J24" s="54">
        <f t="shared" si="8"/>
        <v>0</v>
      </c>
    </row>
    <row r="25" spans="1:10" ht="12.75">
      <c r="A25" s="5"/>
      <c r="B25" s="124">
        <v>2012</v>
      </c>
      <c r="C25" s="54">
        <f aca="true" t="shared" si="9" ref="C25:C30">D25+E25+I25+J25</f>
        <v>38250.9</v>
      </c>
      <c r="D25" s="54">
        <v>0</v>
      </c>
      <c r="E25" s="54">
        <f aca="true" t="shared" si="10" ref="E25:E30">F25+G25+H25</f>
        <v>38250.9</v>
      </c>
      <c r="F25" s="54">
        <v>0</v>
      </c>
      <c r="G25" s="54">
        <v>0</v>
      </c>
      <c r="H25" s="54">
        <v>38250.9</v>
      </c>
      <c r="I25" s="54">
        <v>0</v>
      </c>
      <c r="J25" s="54">
        <v>0</v>
      </c>
    </row>
    <row r="26" spans="1:10" ht="12.75">
      <c r="A26" s="5"/>
      <c r="B26" s="124">
        <v>2013</v>
      </c>
      <c r="C26" s="54">
        <f t="shared" si="9"/>
        <v>6919.2</v>
      </c>
      <c r="D26" s="54">
        <v>0</v>
      </c>
      <c r="E26" s="54">
        <f t="shared" si="10"/>
        <v>6919.2</v>
      </c>
      <c r="F26" s="54">
        <v>0</v>
      </c>
      <c r="G26" s="54">
        <v>0</v>
      </c>
      <c r="H26" s="54">
        <v>6919.2</v>
      </c>
      <c r="I26" s="54">
        <v>0</v>
      </c>
      <c r="J26" s="54">
        <v>0</v>
      </c>
    </row>
    <row r="27" spans="1:10" ht="12.75">
      <c r="A27" s="5"/>
      <c r="B27" s="124">
        <v>2014</v>
      </c>
      <c r="C27" s="54">
        <f t="shared" si="9"/>
        <v>0</v>
      </c>
      <c r="D27" s="54">
        <v>0</v>
      </c>
      <c r="E27" s="54">
        <f t="shared" si="10"/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</row>
    <row r="28" spans="1:10" ht="12.75">
      <c r="A28" s="5"/>
      <c r="B28" s="124">
        <v>2015</v>
      </c>
      <c r="C28" s="54">
        <f t="shared" si="9"/>
        <v>0</v>
      </c>
      <c r="D28" s="54">
        <v>0</v>
      </c>
      <c r="E28" s="54">
        <f t="shared" si="10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</row>
    <row r="29" spans="1:10" ht="12.75">
      <c r="A29" s="5"/>
      <c r="B29" s="124">
        <v>2016</v>
      </c>
      <c r="C29" s="54">
        <f t="shared" si="9"/>
        <v>0</v>
      </c>
      <c r="D29" s="54">
        <v>0</v>
      </c>
      <c r="E29" s="54">
        <f t="shared" si="10"/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</row>
    <row r="30" spans="1:10" ht="12.75">
      <c r="A30" s="5"/>
      <c r="B30" s="124" t="s">
        <v>325</v>
      </c>
      <c r="C30" s="54">
        <f t="shared" si="9"/>
        <v>0</v>
      </c>
      <c r="D30" s="54">
        <v>0</v>
      </c>
      <c r="E30" s="54">
        <f t="shared" si="10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</row>
    <row r="31" spans="1:10" ht="38.25">
      <c r="A31" s="5">
        <v>2</v>
      </c>
      <c r="B31" s="122" t="s">
        <v>340</v>
      </c>
      <c r="C31" s="97">
        <f>C33+C34+C35+C36+C37+C38</f>
        <v>6382877.6</v>
      </c>
      <c r="D31" s="97">
        <f aca="true" t="shared" si="11" ref="D31:J31">D33+D34+D35+D36+D37+D38</f>
        <v>14177.6</v>
      </c>
      <c r="E31" s="97">
        <f t="shared" si="11"/>
        <v>0</v>
      </c>
      <c r="F31" s="97">
        <f t="shared" si="11"/>
        <v>0</v>
      </c>
      <c r="G31" s="97">
        <f t="shared" si="11"/>
        <v>0</v>
      </c>
      <c r="H31" s="97">
        <f t="shared" si="11"/>
        <v>0</v>
      </c>
      <c r="I31" s="97">
        <f t="shared" si="11"/>
        <v>0</v>
      </c>
      <c r="J31" s="97">
        <f t="shared" si="11"/>
        <v>6368700</v>
      </c>
    </row>
    <row r="32" spans="1:10" ht="12.75">
      <c r="A32" s="5"/>
      <c r="B32" s="121" t="s">
        <v>323</v>
      </c>
      <c r="C32" s="96"/>
      <c r="D32" s="96"/>
      <c r="E32" s="96"/>
      <c r="F32" s="96"/>
      <c r="G32" s="96"/>
      <c r="H32" s="96"/>
      <c r="I32" s="96"/>
      <c r="J32" s="96"/>
    </row>
    <row r="33" spans="1:10" ht="12.75">
      <c r="A33" s="5"/>
      <c r="B33" s="121" t="s">
        <v>270</v>
      </c>
      <c r="C33" s="96">
        <f aca="true" t="shared" si="12" ref="C33:C38">D33+E33+I33+J33</f>
        <v>803122</v>
      </c>
      <c r="D33" s="96">
        <f aca="true" t="shared" si="13" ref="D33:J38">D41+D48+D55+D62+D69+D76+D83+D90+D97+D104+D111+D118+D125+D132+D139+D146+D154+D161+D168+D175+D182+D189+D196+D203+D218+D225+D210</f>
        <v>1322</v>
      </c>
      <c r="E33" s="96">
        <f t="shared" si="13"/>
        <v>0</v>
      </c>
      <c r="F33" s="96">
        <f t="shared" si="13"/>
        <v>0</v>
      </c>
      <c r="G33" s="96">
        <f t="shared" si="13"/>
        <v>0</v>
      </c>
      <c r="H33" s="96">
        <f t="shared" si="13"/>
        <v>0</v>
      </c>
      <c r="I33" s="96">
        <f t="shared" si="13"/>
        <v>0</v>
      </c>
      <c r="J33" s="96">
        <f t="shared" si="13"/>
        <v>801800</v>
      </c>
    </row>
    <row r="34" spans="1:10" ht="12.75">
      <c r="A34" s="5"/>
      <c r="B34" s="121" t="s">
        <v>271</v>
      </c>
      <c r="C34" s="96">
        <f t="shared" si="12"/>
        <v>822576.8</v>
      </c>
      <c r="D34" s="96">
        <f t="shared" si="13"/>
        <v>1476.8</v>
      </c>
      <c r="E34" s="96">
        <f t="shared" si="13"/>
        <v>0</v>
      </c>
      <c r="F34" s="96">
        <f t="shared" si="13"/>
        <v>0</v>
      </c>
      <c r="G34" s="96">
        <f t="shared" si="13"/>
        <v>0</v>
      </c>
      <c r="H34" s="96">
        <f t="shared" si="13"/>
        <v>0</v>
      </c>
      <c r="I34" s="96">
        <f t="shared" si="13"/>
        <v>0</v>
      </c>
      <c r="J34" s="96">
        <f t="shared" si="13"/>
        <v>821100</v>
      </c>
    </row>
    <row r="35" spans="1:10" ht="12.75">
      <c r="A35" s="5"/>
      <c r="B35" s="121" t="s">
        <v>272</v>
      </c>
      <c r="C35" s="96">
        <f t="shared" si="12"/>
        <v>783425.7</v>
      </c>
      <c r="D35" s="96">
        <f t="shared" si="13"/>
        <v>1625.7</v>
      </c>
      <c r="E35" s="96">
        <f t="shared" si="13"/>
        <v>0</v>
      </c>
      <c r="F35" s="96">
        <f t="shared" si="13"/>
        <v>0</v>
      </c>
      <c r="G35" s="96">
        <f t="shared" si="13"/>
        <v>0</v>
      </c>
      <c r="H35" s="96">
        <f t="shared" si="13"/>
        <v>0</v>
      </c>
      <c r="I35" s="96">
        <f t="shared" si="13"/>
        <v>0</v>
      </c>
      <c r="J35" s="96">
        <f t="shared" si="13"/>
        <v>781800</v>
      </c>
    </row>
    <row r="36" spans="1:10" ht="12.75">
      <c r="A36" s="5"/>
      <c r="B36" s="121" t="s">
        <v>273</v>
      </c>
      <c r="C36" s="96">
        <f t="shared" si="12"/>
        <v>686186.5</v>
      </c>
      <c r="D36" s="96">
        <f t="shared" si="13"/>
        <v>1786.5</v>
      </c>
      <c r="E36" s="96">
        <f t="shared" si="13"/>
        <v>0</v>
      </c>
      <c r="F36" s="96">
        <f t="shared" si="13"/>
        <v>0</v>
      </c>
      <c r="G36" s="96">
        <f t="shared" si="13"/>
        <v>0</v>
      </c>
      <c r="H36" s="96">
        <f t="shared" si="13"/>
        <v>0</v>
      </c>
      <c r="I36" s="96">
        <f t="shared" si="13"/>
        <v>0</v>
      </c>
      <c r="J36" s="96">
        <f t="shared" si="13"/>
        <v>684400</v>
      </c>
    </row>
    <row r="37" spans="1:10" ht="12.75">
      <c r="A37" s="5"/>
      <c r="B37" s="121" t="s">
        <v>274</v>
      </c>
      <c r="C37" s="96">
        <f t="shared" si="12"/>
        <v>696966.6</v>
      </c>
      <c r="D37" s="96">
        <f t="shared" si="13"/>
        <v>1966.6</v>
      </c>
      <c r="E37" s="96">
        <f t="shared" si="13"/>
        <v>0</v>
      </c>
      <c r="F37" s="96">
        <f t="shared" si="13"/>
        <v>0</v>
      </c>
      <c r="G37" s="96">
        <f t="shared" si="13"/>
        <v>0</v>
      </c>
      <c r="H37" s="96">
        <f t="shared" si="13"/>
        <v>0</v>
      </c>
      <c r="I37" s="96">
        <f t="shared" si="13"/>
        <v>0</v>
      </c>
      <c r="J37" s="96">
        <f t="shared" si="13"/>
        <v>695000</v>
      </c>
    </row>
    <row r="38" spans="1:10" ht="12.75">
      <c r="A38" s="5"/>
      <c r="B38" s="121" t="s">
        <v>324</v>
      </c>
      <c r="C38" s="96">
        <f t="shared" si="12"/>
        <v>2590600</v>
      </c>
      <c r="D38" s="96">
        <f t="shared" si="13"/>
        <v>6000</v>
      </c>
      <c r="E38" s="96">
        <f t="shared" si="13"/>
        <v>0</v>
      </c>
      <c r="F38" s="96">
        <f t="shared" si="13"/>
        <v>0</v>
      </c>
      <c r="G38" s="96">
        <f t="shared" si="13"/>
        <v>0</v>
      </c>
      <c r="H38" s="96">
        <f t="shared" si="13"/>
        <v>0</v>
      </c>
      <c r="I38" s="96">
        <f t="shared" si="13"/>
        <v>0</v>
      </c>
      <c r="J38" s="96">
        <f t="shared" si="13"/>
        <v>2584600</v>
      </c>
    </row>
    <row r="39" spans="1:10" ht="38.25">
      <c r="A39" s="5"/>
      <c r="B39" s="123" t="s">
        <v>278</v>
      </c>
      <c r="C39" s="54">
        <f>C40+C47+C54+C61+C68+C75+C82+C89+C96+C103+C110+C117+C124+C131+C138+C145</f>
        <v>3348100</v>
      </c>
      <c r="D39" s="54">
        <f aca="true" t="shared" si="14" ref="D39:J39">D40+D47+D54+D61+D68+D75+D82+D89+D96+D103+D110+D117+D124+D131+D138+D145</f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 t="shared" si="14"/>
        <v>0</v>
      </c>
      <c r="J39" s="54">
        <f t="shared" si="14"/>
        <v>3348100</v>
      </c>
    </row>
    <row r="40" spans="1:10" ht="25.5">
      <c r="A40" s="5"/>
      <c r="B40" s="123" t="s">
        <v>279</v>
      </c>
      <c r="C40" s="54">
        <f>C41+C42+C43+C44+C45+C46</f>
        <v>45000</v>
      </c>
      <c r="D40" s="54">
        <f aca="true" t="shared" si="15" ref="D40:J40">D41+D42+D43+D44+D45+D46</f>
        <v>0</v>
      </c>
      <c r="E40" s="54">
        <f t="shared" si="15"/>
        <v>0</v>
      </c>
      <c r="F40" s="54">
        <f t="shared" si="15"/>
        <v>0</v>
      </c>
      <c r="G40" s="54">
        <f t="shared" si="15"/>
        <v>0</v>
      </c>
      <c r="H40" s="54">
        <f t="shared" si="15"/>
        <v>0</v>
      </c>
      <c r="I40" s="54">
        <f t="shared" si="15"/>
        <v>0</v>
      </c>
      <c r="J40" s="54">
        <f t="shared" si="15"/>
        <v>45000</v>
      </c>
    </row>
    <row r="41" spans="1:10" ht="12.75">
      <c r="A41" s="5"/>
      <c r="B41" s="124">
        <v>2012</v>
      </c>
      <c r="C41" s="54">
        <f aca="true" t="shared" si="16" ref="C41:C46">D41+E41+I41+J41</f>
        <v>5000</v>
      </c>
      <c r="D41" s="54">
        <v>0</v>
      </c>
      <c r="E41" s="54">
        <f aca="true" t="shared" si="17" ref="E41:E46">F41+G41+H41</f>
        <v>0</v>
      </c>
      <c r="F41" s="54">
        <v>0</v>
      </c>
      <c r="G41" s="54">
        <v>0</v>
      </c>
      <c r="H41" s="54">
        <v>0</v>
      </c>
      <c r="I41" s="54">
        <v>0</v>
      </c>
      <c r="J41" s="54">
        <v>5000</v>
      </c>
    </row>
    <row r="42" spans="1:10" ht="12.75">
      <c r="A42" s="5"/>
      <c r="B42" s="124">
        <v>2013</v>
      </c>
      <c r="C42" s="54">
        <f t="shared" si="16"/>
        <v>5000</v>
      </c>
      <c r="D42" s="54">
        <v>0</v>
      </c>
      <c r="E42" s="54">
        <f t="shared" si="17"/>
        <v>0</v>
      </c>
      <c r="F42" s="54">
        <v>0</v>
      </c>
      <c r="G42" s="54">
        <v>0</v>
      </c>
      <c r="H42" s="54">
        <v>0</v>
      </c>
      <c r="I42" s="54">
        <v>0</v>
      </c>
      <c r="J42" s="54">
        <v>5000</v>
      </c>
    </row>
    <row r="43" spans="1:10" ht="12.75">
      <c r="A43" s="5"/>
      <c r="B43" s="124">
        <v>2014</v>
      </c>
      <c r="C43" s="54">
        <f t="shared" si="16"/>
        <v>5000</v>
      </c>
      <c r="D43" s="54">
        <v>0</v>
      </c>
      <c r="E43" s="54">
        <f t="shared" si="17"/>
        <v>0</v>
      </c>
      <c r="F43" s="54">
        <v>0</v>
      </c>
      <c r="G43" s="54">
        <v>0</v>
      </c>
      <c r="H43" s="54">
        <v>0</v>
      </c>
      <c r="I43" s="54">
        <v>0</v>
      </c>
      <c r="J43" s="54">
        <v>5000</v>
      </c>
    </row>
    <row r="44" spans="1:10" ht="12.75">
      <c r="A44" s="5"/>
      <c r="B44" s="124">
        <v>2015</v>
      </c>
      <c r="C44" s="54">
        <f t="shared" si="16"/>
        <v>5000</v>
      </c>
      <c r="D44" s="54">
        <v>0</v>
      </c>
      <c r="E44" s="54">
        <f t="shared" si="17"/>
        <v>0</v>
      </c>
      <c r="F44" s="54">
        <v>0</v>
      </c>
      <c r="G44" s="54">
        <v>0</v>
      </c>
      <c r="H44" s="54">
        <v>0</v>
      </c>
      <c r="I44" s="54">
        <v>0</v>
      </c>
      <c r="J44" s="54">
        <v>5000</v>
      </c>
    </row>
    <row r="45" spans="1:10" ht="12.75">
      <c r="A45" s="5"/>
      <c r="B45" s="124">
        <v>2016</v>
      </c>
      <c r="C45" s="54">
        <f t="shared" si="16"/>
        <v>5000</v>
      </c>
      <c r="D45" s="54">
        <v>0</v>
      </c>
      <c r="E45" s="54">
        <f t="shared" si="17"/>
        <v>0</v>
      </c>
      <c r="F45" s="54">
        <v>0</v>
      </c>
      <c r="G45" s="54">
        <v>0</v>
      </c>
      <c r="H45" s="54">
        <v>0</v>
      </c>
      <c r="I45" s="54">
        <v>0</v>
      </c>
      <c r="J45" s="54">
        <v>5000</v>
      </c>
    </row>
    <row r="46" spans="1:10" ht="12.75">
      <c r="A46" s="5"/>
      <c r="B46" s="124" t="s">
        <v>325</v>
      </c>
      <c r="C46" s="54">
        <f t="shared" si="16"/>
        <v>20000</v>
      </c>
      <c r="D46" s="54">
        <v>0</v>
      </c>
      <c r="E46" s="54">
        <f t="shared" si="17"/>
        <v>0</v>
      </c>
      <c r="F46" s="54">
        <v>0</v>
      </c>
      <c r="G46" s="54">
        <v>0</v>
      </c>
      <c r="H46" s="54">
        <v>0</v>
      </c>
      <c r="I46" s="54">
        <v>0</v>
      </c>
      <c r="J46" s="54">
        <v>20000</v>
      </c>
    </row>
    <row r="47" spans="1:10" ht="25.5">
      <c r="A47" s="5"/>
      <c r="B47" s="123" t="s">
        <v>341</v>
      </c>
      <c r="C47" s="54">
        <f>C48+C49+C50+C51+C52+C53</f>
        <v>4500</v>
      </c>
      <c r="D47" s="54">
        <f aca="true" t="shared" si="18" ref="D47:J47">D48+D49+D50+D51+D52+D53</f>
        <v>0</v>
      </c>
      <c r="E47" s="54">
        <f t="shared" si="18"/>
        <v>0</v>
      </c>
      <c r="F47" s="54">
        <f t="shared" si="18"/>
        <v>0</v>
      </c>
      <c r="G47" s="54">
        <f t="shared" si="18"/>
        <v>0</v>
      </c>
      <c r="H47" s="54">
        <f t="shared" si="18"/>
        <v>0</v>
      </c>
      <c r="I47" s="54">
        <f t="shared" si="18"/>
        <v>0</v>
      </c>
      <c r="J47" s="54">
        <f t="shared" si="18"/>
        <v>4500</v>
      </c>
    </row>
    <row r="48" spans="1:10" ht="12.75">
      <c r="A48" s="5"/>
      <c r="B48" s="124">
        <v>2012</v>
      </c>
      <c r="C48" s="54">
        <f aca="true" t="shared" si="19" ref="C48:C53">D48+E48+I48+J48</f>
        <v>300</v>
      </c>
      <c r="D48" s="54">
        <v>0</v>
      </c>
      <c r="E48" s="54">
        <f aca="true" t="shared" si="20" ref="E48:E53">F48+G48+H48</f>
        <v>0</v>
      </c>
      <c r="F48" s="54">
        <v>0</v>
      </c>
      <c r="G48" s="54">
        <v>0</v>
      </c>
      <c r="H48" s="54">
        <v>0</v>
      </c>
      <c r="I48" s="54">
        <v>0</v>
      </c>
      <c r="J48" s="54">
        <v>300</v>
      </c>
    </row>
    <row r="49" spans="1:10" ht="12.75">
      <c r="A49" s="5"/>
      <c r="B49" s="124">
        <v>2013</v>
      </c>
      <c r="C49" s="54">
        <f t="shared" si="19"/>
        <v>400</v>
      </c>
      <c r="D49" s="54">
        <v>0</v>
      </c>
      <c r="E49" s="54">
        <f t="shared" si="20"/>
        <v>0</v>
      </c>
      <c r="F49" s="54">
        <v>0</v>
      </c>
      <c r="G49" s="54">
        <v>0</v>
      </c>
      <c r="H49" s="54">
        <v>0</v>
      </c>
      <c r="I49" s="54">
        <v>0</v>
      </c>
      <c r="J49" s="54">
        <v>400</v>
      </c>
    </row>
    <row r="50" spans="1:10" ht="12.75">
      <c r="A50" s="5"/>
      <c r="B50" s="124">
        <v>2014</v>
      </c>
      <c r="C50" s="54">
        <f t="shared" si="19"/>
        <v>500</v>
      </c>
      <c r="D50" s="54">
        <v>0</v>
      </c>
      <c r="E50" s="54">
        <f t="shared" si="20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500</v>
      </c>
    </row>
    <row r="51" spans="1:10" ht="12.75">
      <c r="A51" s="5"/>
      <c r="B51" s="124">
        <v>2015</v>
      </c>
      <c r="C51" s="54">
        <f t="shared" si="19"/>
        <v>600</v>
      </c>
      <c r="D51" s="54">
        <v>0</v>
      </c>
      <c r="E51" s="54">
        <f t="shared" si="20"/>
        <v>0</v>
      </c>
      <c r="F51" s="54">
        <v>0</v>
      </c>
      <c r="G51" s="54">
        <v>0</v>
      </c>
      <c r="H51" s="54">
        <v>0</v>
      </c>
      <c r="I51" s="54">
        <v>0</v>
      </c>
      <c r="J51" s="54">
        <v>600</v>
      </c>
    </row>
    <row r="52" spans="1:10" ht="12.75">
      <c r="A52" s="5"/>
      <c r="B52" s="124">
        <v>2016</v>
      </c>
      <c r="C52" s="54">
        <f t="shared" si="19"/>
        <v>700</v>
      </c>
      <c r="D52" s="54">
        <v>0</v>
      </c>
      <c r="E52" s="54">
        <f t="shared" si="20"/>
        <v>0</v>
      </c>
      <c r="F52" s="54">
        <v>0</v>
      </c>
      <c r="G52" s="54">
        <v>0</v>
      </c>
      <c r="H52" s="54">
        <v>0</v>
      </c>
      <c r="I52" s="54">
        <v>0</v>
      </c>
      <c r="J52" s="54">
        <v>700</v>
      </c>
    </row>
    <row r="53" spans="1:10" ht="12.75">
      <c r="A53" s="5"/>
      <c r="B53" s="124" t="s">
        <v>325</v>
      </c>
      <c r="C53" s="54">
        <f t="shared" si="19"/>
        <v>2000</v>
      </c>
      <c r="D53" s="54">
        <v>0</v>
      </c>
      <c r="E53" s="54">
        <f t="shared" si="20"/>
        <v>0</v>
      </c>
      <c r="F53" s="54">
        <v>0</v>
      </c>
      <c r="G53" s="54">
        <v>0</v>
      </c>
      <c r="H53" s="54">
        <v>0</v>
      </c>
      <c r="I53" s="54">
        <v>0</v>
      </c>
      <c r="J53" s="54">
        <v>2000</v>
      </c>
    </row>
    <row r="54" spans="1:10" ht="25.5">
      <c r="A54" s="5"/>
      <c r="B54" s="123" t="s">
        <v>280</v>
      </c>
      <c r="C54" s="54">
        <f>C55+C56+C57+C58+C59+C60</f>
        <v>450000</v>
      </c>
      <c r="D54" s="54">
        <f aca="true" t="shared" si="21" ref="D54:J54">D55+D56+D57+D58+D59+D60</f>
        <v>0</v>
      </c>
      <c r="E54" s="54">
        <f t="shared" si="21"/>
        <v>0</v>
      </c>
      <c r="F54" s="54">
        <f t="shared" si="21"/>
        <v>0</v>
      </c>
      <c r="G54" s="54">
        <f t="shared" si="21"/>
        <v>0</v>
      </c>
      <c r="H54" s="54">
        <f t="shared" si="21"/>
        <v>0</v>
      </c>
      <c r="I54" s="54">
        <f t="shared" si="21"/>
        <v>0</v>
      </c>
      <c r="J54" s="54">
        <f t="shared" si="21"/>
        <v>450000</v>
      </c>
    </row>
    <row r="55" spans="1:10" ht="12.75">
      <c r="A55" s="5"/>
      <c r="B55" s="124">
        <v>2012</v>
      </c>
      <c r="C55" s="54">
        <f aca="true" t="shared" si="22" ref="C55:C60">D55+E55+I55+J55</f>
        <v>50000</v>
      </c>
      <c r="D55" s="54">
        <v>0</v>
      </c>
      <c r="E55" s="54">
        <f aca="true" t="shared" si="23" ref="E55:E60">F55+G55+H55</f>
        <v>0</v>
      </c>
      <c r="F55" s="54">
        <v>0</v>
      </c>
      <c r="G55" s="54">
        <v>0</v>
      </c>
      <c r="H55" s="54">
        <v>0</v>
      </c>
      <c r="I55" s="54">
        <v>0</v>
      </c>
      <c r="J55" s="54">
        <v>50000</v>
      </c>
    </row>
    <row r="56" spans="1:10" ht="12.75">
      <c r="A56" s="5"/>
      <c r="B56" s="124">
        <v>2013</v>
      </c>
      <c r="C56" s="54">
        <f t="shared" si="22"/>
        <v>50000</v>
      </c>
      <c r="D56" s="54">
        <v>0</v>
      </c>
      <c r="E56" s="54">
        <f t="shared" si="23"/>
        <v>0</v>
      </c>
      <c r="F56" s="54">
        <v>0</v>
      </c>
      <c r="G56" s="54">
        <v>0</v>
      </c>
      <c r="H56" s="54">
        <v>0</v>
      </c>
      <c r="I56" s="54">
        <v>0</v>
      </c>
      <c r="J56" s="54">
        <v>50000</v>
      </c>
    </row>
    <row r="57" spans="1:10" ht="12.75">
      <c r="A57" s="5"/>
      <c r="B57" s="124">
        <v>2014</v>
      </c>
      <c r="C57" s="54">
        <f t="shared" si="22"/>
        <v>50000</v>
      </c>
      <c r="D57" s="54">
        <v>0</v>
      </c>
      <c r="E57" s="54">
        <f t="shared" si="23"/>
        <v>0</v>
      </c>
      <c r="F57" s="54">
        <v>0</v>
      </c>
      <c r="G57" s="54">
        <v>0</v>
      </c>
      <c r="H57" s="54">
        <v>0</v>
      </c>
      <c r="I57" s="54">
        <v>0</v>
      </c>
      <c r="J57" s="54">
        <v>50000</v>
      </c>
    </row>
    <row r="58" spans="1:10" ht="12.75">
      <c r="A58" s="5"/>
      <c r="B58" s="124">
        <v>2015</v>
      </c>
      <c r="C58" s="54">
        <f t="shared" si="22"/>
        <v>50000</v>
      </c>
      <c r="D58" s="54">
        <v>0</v>
      </c>
      <c r="E58" s="54">
        <f t="shared" si="23"/>
        <v>0</v>
      </c>
      <c r="F58" s="54">
        <v>0</v>
      </c>
      <c r="G58" s="54">
        <v>0</v>
      </c>
      <c r="H58" s="54">
        <v>0</v>
      </c>
      <c r="I58" s="54">
        <v>0</v>
      </c>
      <c r="J58" s="54">
        <v>50000</v>
      </c>
    </row>
    <row r="59" spans="1:10" ht="12.75">
      <c r="A59" s="5"/>
      <c r="B59" s="124">
        <v>2016</v>
      </c>
      <c r="C59" s="54">
        <f t="shared" si="22"/>
        <v>50000</v>
      </c>
      <c r="D59" s="54">
        <v>0</v>
      </c>
      <c r="E59" s="54">
        <f t="shared" si="23"/>
        <v>0</v>
      </c>
      <c r="F59" s="54">
        <v>0</v>
      </c>
      <c r="G59" s="54">
        <v>0</v>
      </c>
      <c r="H59" s="54">
        <v>0</v>
      </c>
      <c r="I59" s="54">
        <v>0</v>
      </c>
      <c r="J59" s="54">
        <v>50000</v>
      </c>
    </row>
    <row r="60" spans="1:10" ht="12.75">
      <c r="A60" s="5"/>
      <c r="B60" s="124" t="s">
        <v>325</v>
      </c>
      <c r="C60" s="54">
        <f t="shared" si="22"/>
        <v>200000</v>
      </c>
      <c r="D60" s="54">
        <v>0</v>
      </c>
      <c r="E60" s="54">
        <f t="shared" si="23"/>
        <v>0</v>
      </c>
      <c r="F60" s="54">
        <v>0</v>
      </c>
      <c r="G60" s="54">
        <v>0</v>
      </c>
      <c r="H60" s="54">
        <v>0</v>
      </c>
      <c r="I60" s="54">
        <v>0</v>
      </c>
      <c r="J60" s="54">
        <v>200000</v>
      </c>
    </row>
    <row r="61" spans="1:10" ht="25.5">
      <c r="A61" s="5"/>
      <c r="B61" s="123" t="s">
        <v>281</v>
      </c>
      <c r="C61" s="54">
        <f>C62+C63+C64+C65+C66+C67</f>
        <v>675000</v>
      </c>
      <c r="D61" s="54">
        <f aca="true" t="shared" si="24" ref="D61:J61">D62+D63+D64+D65+D66+D67</f>
        <v>0</v>
      </c>
      <c r="E61" s="54">
        <f t="shared" si="24"/>
        <v>0</v>
      </c>
      <c r="F61" s="54">
        <f t="shared" si="24"/>
        <v>0</v>
      </c>
      <c r="G61" s="54">
        <f t="shared" si="24"/>
        <v>0</v>
      </c>
      <c r="H61" s="54">
        <f t="shared" si="24"/>
        <v>0</v>
      </c>
      <c r="I61" s="54">
        <f t="shared" si="24"/>
        <v>0</v>
      </c>
      <c r="J61" s="54">
        <f t="shared" si="24"/>
        <v>675000</v>
      </c>
    </row>
    <row r="62" spans="1:10" ht="12.75">
      <c r="A62" s="5"/>
      <c r="B62" s="124">
        <v>2012</v>
      </c>
      <c r="C62" s="54">
        <f aca="true" t="shared" si="25" ref="C62:C67">D62+E62+I62+J62</f>
        <v>70000</v>
      </c>
      <c r="D62" s="54">
        <v>0</v>
      </c>
      <c r="E62" s="54">
        <f aca="true" t="shared" si="26" ref="E62:E67">F62+G62+H62</f>
        <v>0</v>
      </c>
      <c r="F62" s="54">
        <v>0</v>
      </c>
      <c r="G62" s="54">
        <v>0</v>
      </c>
      <c r="H62" s="54">
        <v>0</v>
      </c>
      <c r="I62" s="54">
        <v>0</v>
      </c>
      <c r="J62" s="54">
        <v>70000</v>
      </c>
    </row>
    <row r="63" spans="1:10" ht="12.75">
      <c r="A63" s="5"/>
      <c r="B63" s="124">
        <v>2013</v>
      </c>
      <c r="C63" s="54">
        <f t="shared" si="25"/>
        <v>70000</v>
      </c>
      <c r="D63" s="54">
        <v>0</v>
      </c>
      <c r="E63" s="54">
        <f t="shared" si="26"/>
        <v>0</v>
      </c>
      <c r="F63" s="54">
        <v>0</v>
      </c>
      <c r="G63" s="54">
        <v>0</v>
      </c>
      <c r="H63" s="54">
        <v>0</v>
      </c>
      <c r="I63" s="54">
        <v>0</v>
      </c>
      <c r="J63" s="54">
        <v>70000</v>
      </c>
    </row>
    <row r="64" spans="1:10" ht="12.75">
      <c r="A64" s="5"/>
      <c r="B64" s="124">
        <v>2014</v>
      </c>
      <c r="C64" s="54">
        <f t="shared" si="25"/>
        <v>55000</v>
      </c>
      <c r="D64" s="54">
        <v>0</v>
      </c>
      <c r="E64" s="54">
        <f t="shared" si="26"/>
        <v>0</v>
      </c>
      <c r="F64" s="54">
        <v>0</v>
      </c>
      <c r="G64" s="54">
        <v>0</v>
      </c>
      <c r="H64" s="54">
        <v>0</v>
      </c>
      <c r="I64" s="54">
        <v>0</v>
      </c>
      <c r="J64" s="54">
        <v>55000</v>
      </c>
    </row>
    <row r="65" spans="1:10" ht="12.75">
      <c r="A65" s="5"/>
      <c r="B65" s="124">
        <v>2015</v>
      </c>
      <c r="C65" s="54">
        <f t="shared" si="25"/>
        <v>80000</v>
      </c>
      <c r="D65" s="54">
        <v>0</v>
      </c>
      <c r="E65" s="54">
        <f t="shared" si="26"/>
        <v>0</v>
      </c>
      <c r="F65" s="54">
        <v>0</v>
      </c>
      <c r="G65" s="54">
        <v>0</v>
      </c>
      <c r="H65" s="54">
        <v>0</v>
      </c>
      <c r="I65" s="54">
        <v>0</v>
      </c>
      <c r="J65" s="54">
        <v>80000</v>
      </c>
    </row>
    <row r="66" spans="1:10" ht="12.75">
      <c r="A66" s="5"/>
      <c r="B66" s="124">
        <v>2016</v>
      </c>
      <c r="C66" s="54">
        <f t="shared" si="25"/>
        <v>80000</v>
      </c>
      <c r="D66" s="54">
        <v>0</v>
      </c>
      <c r="E66" s="54">
        <f t="shared" si="26"/>
        <v>0</v>
      </c>
      <c r="F66" s="54">
        <v>0</v>
      </c>
      <c r="G66" s="54">
        <v>0</v>
      </c>
      <c r="H66" s="54">
        <v>0</v>
      </c>
      <c r="I66" s="54">
        <v>0</v>
      </c>
      <c r="J66" s="54">
        <v>80000</v>
      </c>
    </row>
    <row r="67" spans="1:10" ht="12.75">
      <c r="A67" s="5"/>
      <c r="B67" s="124" t="s">
        <v>325</v>
      </c>
      <c r="C67" s="54">
        <f t="shared" si="25"/>
        <v>320000</v>
      </c>
      <c r="D67" s="54">
        <v>0</v>
      </c>
      <c r="E67" s="54">
        <f t="shared" si="26"/>
        <v>0</v>
      </c>
      <c r="F67" s="54">
        <v>0</v>
      </c>
      <c r="G67" s="54">
        <v>0</v>
      </c>
      <c r="H67" s="54">
        <v>0</v>
      </c>
      <c r="I67" s="54">
        <v>0</v>
      </c>
      <c r="J67" s="54">
        <v>320000</v>
      </c>
    </row>
    <row r="68" spans="1:10" ht="38.25">
      <c r="A68" s="5"/>
      <c r="B68" s="123" t="s">
        <v>282</v>
      </c>
      <c r="C68" s="54">
        <f>C69+C70+C71+C72+C73+C74</f>
        <v>282800</v>
      </c>
      <c r="D68" s="54">
        <f aca="true" t="shared" si="27" ref="D68:J68">D69+D70+D71+D72+D73+D74</f>
        <v>0</v>
      </c>
      <c r="E68" s="54">
        <f t="shared" si="27"/>
        <v>0</v>
      </c>
      <c r="F68" s="54">
        <f t="shared" si="27"/>
        <v>0</v>
      </c>
      <c r="G68" s="54">
        <f t="shared" si="27"/>
        <v>0</v>
      </c>
      <c r="H68" s="54">
        <f t="shared" si="27"/>
        <v>0</v>
      </c>
      <c r="I68" s="54">
        <f t="shared" si="27"/>
        <v>0</v>
      </c>
      <c r="J68" s="54">
        <f t="shared" si="27"/>
        <v>282800</v>
      </c>
    </row>
    <row r="69" spans="1:10" ht="12.75">
      <c r="A69" s="5"/>
      <c r="B69" s="124">
        <v>2012</v>
      </c>
      <c r="C69" s="54">
        <f aca="true" t="shared" si="28" ref="C69:C74">D69+E69+I69+J69</f>
        <v>63900</v>
      </c>
      <c r="D69" s="54">
        <v>0</v>
      </c>
      <c r="E69" s="54">
        <f aca="true" t="shared" si="29" ref="E69:E74">F69+G69+H69</f>
        <v>0</v>
      </c>
      <c r="F69" s="54">
        <v>0</v>
      </c>
      <c r="G69" s="54">
        <v>0</v>
      </c>
      <c r="H69" s="54">
        <v>0</v>
      </c>
      <c r="I69" s="54">
        <v>0</v>
      </c>
      <c r="J69" s="54">
        <v>63900</v>
      </c>
    </row>
    <row r="70" spans="1:10" ht="12.75">
      <c r="A70" s="5"/>
      <c r="B70" s="124">
        <v>2013</v>
      </c>
      <c r="C70" s="54">
        <f t="shared" si="28"/>
        <v>63900</v>
      </c>
      <c r="D70" s="54">
        <v>0</v>
      </c>
      <c r="E70" s="54">
        <f t="shared" si="29"/>
        <v>0</v>
      </c>
      <c r="F70" s="54">
        <v>0</v>
      </c>
      <c r="G70" s="54">
        <v>0</v>
      </c>
      <c r="H70" s="54">
        <v>0</v>
      </c>
      <c r="I70" s="54">
        <v>0</v>
      </c>
      <c r="J70" s="54">
        <v>63900</v>
      </c>
    </row>
    <row r="71" spans="1:10" ht="12.75">
      <c r="A71" s="5"/>
      <c r="B71" s="124">
        <v>2014</v>
      </c>
      <c r="C71" s="54">
        <f t="shared" si="28"/>
        <v>25000</v>
      </c>
      <c r="D71" s="54">
        <v>0</v>
      </c>
      <c r="E71" s="54">
        <f t="shared" si="29"/>
        <v>0</v>
      </c>
      <c r="F71" s="54">
        <v>0</v>
      </c>
      <c r="G71" s="54">
        <v>0</v>
      </c>
      <c r="H71" s="54">
        <v>0</v>
      </c>
      <c r="I71" s="54">
        <v>0</v>
      </c>
      <c r="J71" s="54">
        <v>25000</v>
      </c>
    </row>
    <row r="72" spans="1:10" ht="12.75">
      <c r="A72" s="5"/>
      <c r="B72" s="124">
        <v>2015</v>
      </c>
      <c r="C72" s="54">
        <f t="shared" si="28"/>
        <v>25000</v>
      </c>
      <c r="D72" s="54">
        <v>0</v>
      </c>
      <c r="E72" s="54">
        <f t="shared" si="29"/>
        <v>0</v>
      </c>
      <c r="F72" s="54">
        <v>0</v>
      </c>
      <c r="G72" s="54">
        <v>0</v>
      </c>
      <c r="H72" s="54">
        <v>0</v>
      </c>
      <c r="I72" s="54">
        <v>0</v>
      </c>
      <c r="J72" s="54">
        <v>25000</v>
      </c>
    </row>
    <row r="73" spans="1:10" ht="12.75">
      <c r="A73" s="5"/>
      <c r="B73" s="124">
        <v>2016</v>
      </c>
      <c r="C73" s="54">
        <f t="shared" si="28"/>
        <v>25000</v>
      </c>
      <c r="D73" s="54">
        <v>0</v>
      </c>
      <c r="E73" s="54">
        <f t="shared" si="29"/>
        <v>0</v>
      </c>
      <c r="F73" s="54">
        <v>0</v>
      </c>
      <c r="G73" s="54">
        <v>0</v>
      </c>
      <c r="H73" s="54">
        <v>0</v>
      </c>
      <c r="I73" s="54">
        <v>0</v>
      </c>
      <c r="J73" s="54">
        <v>25000</v>
      </c>
    </row>
    <row r="74" spans="1:10" ht="12.75">
      <c r="A74" s="5"/>
      <c r="B74" s="124" t="s">
        <v>325</v>
      </c>
      <c r="C74" s="54">
        <f t="shared" si="28"/>
        <v>80000</v>
      </c>
      <c r="D74" s="54">
        <v>0</v>
      </c>
      <c r="E74" s="54">
        <f t="shared" si="29"/>
        <v>0</v>
      </c>
      <c r="F74" s="54">
        <v>0</v>
      </c>
      <c r="G74" s="54">
        <v>0</v>
      </c>
      <c r="H74" s="54">
        <v>0</v>
      </c>
      <c r="I74" s="54">
        <v>0</v>
      </c>
      <c r="J74" s="54">
        <v>80000</v>
      </c>
    </row>
    <row r="75" spans="1:10" ht="38.25">
      <c r="A75" s="5"/>
      <c r="B75" s="123" t="s">
        <v>356</v>
      </c>
      <c r="C75" s="54">
        <f>C76+C77+C78+C79+C80+C81</f>
        <v>1040000</v>
      </c>
      <c r="D75" s="54">
        <f aca="true" t="shared" si="30" ref="D75:J75">D76+D77+D78+D79+D80+D81</f>
        <v>0</v>
      </c>
      <c r="E75" s="54">
        <f t="shared" si="30"/>
        <v>0</v>
      </c>
      <c r="F75" s="54">
        <f t="shared" si="30"/>
        <v>0</v>
      </c>
      <c r="G75" s="54">
        <f t="shared" si="30"/>
        <v>0</v>
      </c>
      <c r="H75" s="54">
        <f t="shared" si="30"/>
        <v>0</v>
      </c>
      <c r="I75" s="54">
        <f t="shared" si="30"/>
        <v>0</v>
      </c>
      <c r="J75" s="54">
        <f t="shared" si="30"/>
        <v>1040000</v>
      </c>
    </row>
    <row r="76" spans="1:10" ht="12.75">
      <c r="A76" s="5"/>
      <c r="B76" s="124">
        <v>2012</v>
      </c>
      <c r="C76" s="54">
        <f aca="true" t="shared" si="31" ref="C76:C81">D76+E76+I76+J76</f>
        <v>90000</v>
      </c>
      <c r="D76" s="54">
        <v>0</v>
      </c>
      <c r="E76" s="54">
        <f aca="true" t="shared" si="32" ref="E76:E81">F76+G76+H76</f>
        <v>0</v>
      </c>
      <c r="F76" s="54">
        <v>0</v>
      </c>
      <c r="G76" s="54">
        <v>0</v>
      </c>
      <c r="H76" s="54">
        <v>0</v>
      </c>
      <c r="I76" s="54">
        <v>0</v>
      </c>
      <c r="J76" s="54">
        <v>90000</v>
      </c>
    </row>
    <row r="77" spans="1:10" ht="12.75">
      <c r="A77" s="5"/>
      <c r="B77" s="124">
        <v>2013</v>
      </c>
      <c r="C77" s="54">
        <f t="shared" si="31"/>
        <v>100000</v>
      </c>
      <c r="D77" s="54">
        <v>0</v>
      </c>
      <c r="E77" s="54">
        <f t="shared" si="32"/>
        <v>0</v>
      </c>
      <c r="F77" s="54">
        <v>0</v>
      </c>
      <c r="G77" s="54">
        <v>0</v>
      </c>
      <c r="H77" s="54">
        <v>0</v>
      </c>
      <c r="I77" s="54">
        <v>0</v>
      </c>
      <c r="J77" s="54">
        <v>100000</v>
      </c>
    </row>
    <row r="78" spans="1:10" ht="12.75">
      <c r="A78" s="5"/>
      <c r="B78" s="124">
        <v>2014</v>
      </c>
      <c r="C78" s="54">
        <f t="shared" si="31"/>
        <v>120000</v>
      </c>
      <c r="D78" s="54">
        <v>0</v>
      </c>
      <c r="E78" s="54">
        <f t="shared" si="32"/>
        <v>0</v>
      </c>
      <c r="F78" s="54">
        <v>0</v>
      </c>
      <c r="G78" s="54">
        <v>0</v>
      </c>
      <c r="H78" s="54">
        <v>0</v>
      </c>
      <c r="I78" s="54">
        <v>0</v>
      </c>
      <c r="J78" s="54">
        <v>120000</v>
      </c>
    </row>
    <row r="79" spans="1:10" ht="12.75">
      <c r="A79" s="5"/>
      <c r="B79" s="124">
        <v>2015</v>
      </c>
      <c r="C79" s="54">
        <f t="shared" si="31"/>
        <v>110000</v>
      </c>
      <c r="D79" s="54">
        <v>0</v>
      </c>
      <c r="E79" s="54">
        <f t="shared" si="32"/>
        <v>0</v>
      </c>
      <c r="F79" s="54">
        <v>0</v>
      </c>
      <c r="G79" s="54">
        <v>0</v>
      </c>
      <c r="H79" s="54">
        <v>0</v>
      </c>
      <c r="I79" s="54">
        <v>0</v>
      </c>
      <c r="J79" s="54">
        <v>110000</v>
      </c>
    </row>
    <row r="80" spans="1:10" ht="12.75">
      <c r="A80" s="5"/>
      <c r="B80" s="124">
        <v>2016</v>
      </c>
      <c r="C80" s="54">
        <f t="shared" si="31"/>
        <v>120000</v>
      </c>
      <c r="D80" s="54">
        <v>0</v>
      </c>
      <c r="E80" s="54">
        <f t="shared" si="32"/>
        <v>0</v>
      </c>
      <c r="F80" s="54">
        <v>0</v>
      </c>
      <c r="G80" s="54">
        <v>0</v>
      </c>
      <c r="H80" s="54">
        <v>0</v>
      </c>
      <c r="I80" s="54">
        <v>0</v>
      </c>
      <c r="J80" s="54">
        <v>120000</v>
      </c>
    </row>
    <row r="81" spans="1:10" ht="12.75">
      <c r="A81" s="5"/>
      <c r="B81" s="124" t="s">
        <v>325</v>
      </c>
      <c r="C81" s="54">
        <f t="shared" si="31"/>
        <v>500000</v>
      </c>
      <c r="D81" s="54">
        <v>0</v>
      </c>
      <c r="E81" s="54">
        <f t="shared" si="32"/>
        <v>0</v>
      </c>
      <c r="F81" s="54">
        <v>0</v>
      </c>
      <c r="G81" s="54">
        <v>0</v>
      </c>
      <c r="H81" s="54">
        <v>0</v>
      </c>
      <c r="I81" s="54">
        <v>0</v>
      </c>
      <c r="J81" s="54">
        <v>500000</v>
      </c>
    </row>
    <row r="82" spans="1:10" ht="30" customHeight="1">
      <c r="A82" s="5"/>
      <c r="B82" s="123" t="s">
        <v>284</v>
      </c>
      <c r="C82" s="54">
        <f>C83+C84+C85+C86+C87+C88</f>
        <v>53000</v>
      </c>
      <c r="D82" s="54">
        <f aca="true" t="shared" si="33" ref="D82:J82">D83+D84+D85+D86+D87+D88</f>
        <v>0</v>
      </c>
      <c r="E82" s="54">
        <f t="shared" si="33"/>
        <v>0</v>
      </c>
      <c r="F82" s="54">
        <f t="shared" si="33"/>
        <v>0</v>
      </c>
      <c r="G82" s="54">
        <f t="shared" si="33"/>
        <v>0</v>
      </c>
      <c r="H82" s="54">
        <f t="shared" si="33"/>
        <v>0</v>
      </c>
      <c r="I82" s="54">
        <f t="shared" si="33"/>
        <v>0</v>
      </c>
      <c r="J82" s="54">
        <f t="shared" si="33"/>
        <v>53000</v>
      </c>
    </row>
    <row r="83" spans="1:10" ht="12.75">
      <c r="A83" s="5"/>
      <c r="B83" s="124">
        <v>2012</v>
      </c>
      <c r="C83" s="54">
        <f aca="true" t="shared" si="34" ref="C83:C88">D83+E83+I83+J83</f>
        <v>5000</v>
      </c>
      <c r="D83" s="54">
        <v>0</v>
      </c>
      <c r="E83" s="54">
        <f aca="true" t="shared" si="35" ref="E83:E88">F83+G83+H83</f>
        <v>0</v>
      </c>
      <c r="F83" s="54">
        <v>0</v>
      </c>
      <c r="G83" s="54">
        <v>0</v>
      </c>
      <c r="H83" s="54">
        <v>0</v>
      </c>
      <c r="I83" s="54">
        <v>0</v>
      </c>
      <c r="J83" s="54">
        <v>5000</v>
      </c>
    </row>
    <row r="84" spans="1:10" ht="12.75">
      <c r="A84" s="5"/>
      <c r="B84" s="124">
        <v>2013</v>
      </c>
      <c r="C84" s="54">
        <f t="shared" si="34"/>
        <v>6000</v>
      </c>
      <c r="D84" s="54">
        <v>0</v>
      </c>
      <c r="E84" s="54">
        <f t="shared" si="35"/>
        <v>0</v>
      </c>
      <c r="F84" s="54">
        <v>0</v>
      </c>
      <c r="G84" s="54">
        <v>0</v>
      </c>
      <c r="H84" s="54">
        <v>0</v>
      </c>
      <c r="I84" s="54">
        <v>0</v>
      </c>
      <c r="J84" s="54">
        <v>6000</v>
      </c>
    </row>
    <row r="85" spans="1:10" ht="12.75">
      <c r="A85" s="5"/>
      <c r="B85" s="124">
        <v>2014</v>
      </c>
      <c r="C85" s="54">
        <f t="shared" si="34"/>
        <v>5000</v>
      </c>
      <c r="D85" s="54">
        <v>0</v>
      </c>
      <c r="E85" s="54">
        <f t="shared" si="35"/>
        <v>0</v>
      </c>
      <c r="F85" s="54">
        <v>0</v>
      </c>
      <c r="G85" s="54">
        <v>0</v>
      </c>
      <c r="H85" s="54">
        <v>0</v>
      </c>
      <c r="I85" s="54">
        <v>0</v>
      </c>
      <c r="J85" s="54">
        <v>5000</v>
      </c>
    </row>
    <row r="86" spans="1:10" ht="12.75">
      <c r="A86" s="5"/>
      <c r="B86" s="124">
        <v>2015</v>
      </c>
      <c r="C86" s="54">
        <f t="shared" si="34"/>
        <v>6000</v>
      </c>
      <c r="D86" s="54">
        <v>0</v>
      </c>
      <c r="E86" s="54">
        <f t="shared" si="35"/>
        <v>0</v>
      </c>
      <c r="F86" s="54">
        <v>0</v>
      </c>
      <c r="G86" s="54">
        <v>0</v>
      </c>
      <c r="H86" s="54">
        <v>0</v>
      </c>
      <c r="I86" s="54">
        <v>0</v>
      </c>
      <c r="J86" s="54">
        <v>6000</v>
      </c>
    </row>
    <row r="87" spans="1:10" ht="12.75">
      <c r="A87" s="5"/>
      <c r="B87" s="124">
        <v>2016</v>
      </c>
      <c r="C87" s="54">
        <f t="shared" si="34"/>
        <v>6000</v>
      </c>
      <c r="D87" s="54">
        <v>0</v>
      </c>
      <c r="E87" s="54">
        <f t="shared" si="35"/>
        <v>0</v>
      </c>
      <c r="F87" s="54">
        <v>0</v>
      </c>
      <c r="G87" s="54">
        <v>0</v>
      </c>
      <c r="H87" s="54">
        <v>0</v>
      </c>
      <c r="I87" s="54">
        <v>0</v>
      </c>
      <c r="J87" s="54">
        <v>6000</v>
      </c>
    </row>
    <row r="88" spans="1:10" ht="12.75">
      <c r="A88" s="5"/>
      <c r="B88" s="124" t="s">
        <v>325</v>
      </c>
      <c r="C88" s="54">
        <f t="shared" si="34"/>
        <v>25000</v>
      </c>
      <c r="D88" s="54">
        <v>0</v>
      </c>
      <c r="E88" s="54">
        <f t="shared" si="35"/>
        <v>0</v>
      </c>
      <c r="F88" s="54">
        <v>0</v>
      </c>
      <c r="G88" s="54">
        <v>0</v>
      </c>
      <c r="H88" s="54">
        <v>0</v>
      </c>
      <c r="I88" s="54">
        <v>0</v>
      </c>
      <c r="J88" s="54">
        <v>25000</v>
      </c>
    </row>
    <row r="89" spans="1:10" ht="25.5">
      <c r="A89" s="5"/>
      <c r="B89" s="123" t="s">
        <v>285</v>
      </c>
      <c r="C89" s="54">
        <f>C90+C91+C92+C93+C94+C95</f>
        <v>27000</v>
      </c>
      <c r="D89" s="54">
        <f aca="true" t="shared" si="36" ref="D89:J89">D90+D91+D92+D93+D94+D95</f>
        <v>0</v>
      </c>
      <c r="E89" s="54">
        <f t="shared" si="36"/>
        <v>0</v>
      </c>
      <c r="F89" s="54">
        <f t="shared" si="36"/>
        <v>0</v>
      </c>
      <c r="G89" s="54">
        <f t="shared" si="36"/>
        <v>0</v>
      </c>
      <c r="H89" s="54">
        <f t="shared" si="36"/>
        <v>0</v>
      </c>
      <c r="I89" s="54">
        <f t="shared" si="36"/>
        <v>0</v>
      </c>
      <c r="J89" s="54">
        <f t="shared" si="36"/>
        <v>27000</v>
      </c>
    </row>
    <row r="90" spans="1:10" ht="12.75">
      <c r="A90" s="5"/>
      <c r="B90" s="124">
        <v>2012</v>
      </c>
      <c r="C90" s="54">
        <f aca="true" t="shared" si="37" ref="C90:C95">D90+E90+I90+J90</f>
        <v>3000</v>
      </c>
      <c r="D90" s="54">
        <v>0</v>
      </c>
      <c r="E90" s="54">
        <f aca="true" t="shared" si="38" ref="E90:E95">F90+G90+H90</f>
        <v>0</v>
      </c>
      <c r="F90" s="54">
        <v>0</v>
      </c>
      <c r="G90" s="54">
        <v>0</v>
      </c>
      <c r="H90" s="54">
        <v>0</v>
      </c>
      <c r="I90" s="54">
        <v>0</v>
      </c>
      <c r="J90" s="54">
        <v>3000</v>
      </c>
    </row>
    <row r="91" spans="1:10" ht="12.75">
      <c r="A91" s="5"/>
      <c r="B91" s="124">
        <v>2013</v>
      </c>
      <c r="C91" s="54">
        <f t="shared" si="37"/>
        <v>3000</v>
      </c>
      <c r="D91" s="54">
        <v>0</v>
      </c>
      <c r="E91" s="54">
        <f t="shared" si="38"/>
        <v>0</v>
      </c>
      <c r="F91" s="54">
        <v>0</v>
      </c>
      <c r="G91" s="54">
        <v>0</v>
      </c>
      <c r="H91" s="54">
        <v>0</v>
      </c>
      <c r="I91" s="54">
        <v>0</v>
      </c>
      <c r="J91" s="54">
        <v>3000</v>
      </c>
    </row>
    <row r="92" spans="1:10" ht="12.75">
      <c r="A92" s="5"/>
      <c r="B92" s="124">
        <v>2014</v>
      </c>
      <c r="C92" s="54">
        <f t="shared" si="37"/>
        <v>3000</v>
      </c>
      <c r="D92" s="54">
        <v>0</v>
      </c>
      <c r="E92" s="54">
        <f t="shared" si="38"/>
        <v>0</v>
      </c>
      <c r="F92" s="54">
        <v>0</v>
      </c>
      <c r="G92" s="54">
        <v>0</v>
      </c>
      <c r="H92" s="54">
        <v>0</v>
      </c>
      <c r="I92" s="54">
        <v>0</v>
      </c>
      <c r="J92" s="54">
        <v>3000</v>
      </c>
    </row>
    <row r="93" spans="1:10" ht="12.75">
      <c r="A93" s="5"/>
      <c r="B93" s="124">
        <v>2015</v>
      </c>
      <c r="C93" s="54">
        <f t="shared" si="37"/>
        <v>3000</v>
      </c>
      <c r="D93" s="54">
        <v>0</v>
      </c>
      <c r="E93" s="54">
        <f t="shared" si="38"/>
        <v>0</v>
      </c>
      <c r="F93" s="54">
        <v>0</v>
      </c>
      <c r="G93" s="54">
        <v>0</v>
      </c>
      <c r="H93" s="54">
        <v>0</v>
      </c>
      <c r="I93" s="54">
        <v>0</v>
      </c>
      <c r="J93" s="54">
        <v>3000</v>
      </c>
    </row>
    <row r="94" spans="1:10" ht="12.75">
      <c r="A94" s="5"/>
      <c r="B94" s="124">
        <v>2016</v>
      </c>
      <c r="C94" s="54">
        <f t="shared" si="37"/>
        <v>3000</v>
      </c>
      <c r="D94" s="54">
        <v>0</v>
      </c>
      <c r="E94" s="54">
        <f t="shared" si="38"/>
        <v>0</v>
      </c>
      <c r="F94" s="54">
        <v>0</v>
      </c>
      <c r="G94" s="54">
        <v>0</v>
      </c>
      <c r="H94" s="54">
        <v>0</v>
      </c>
      <c r="I94" s="54">
        <v>0</v>
      </c>
      <c r="J94" s="54">
        <v>3000</v>
      </c>
    </row>
    <row r="95" spans="1:10" ht="12.75">
      <c r="A95" s="5"/>
      <c r="B95" s="124" t="s">
        <v>325</v>
      </c>
      <c r="C95" s="54">
        <f t="shared" si="37"/>
        <v>12000</v>
      </c>
      <c r="D95" s="54">
        <v>0</v>
      </c>
      <c r="E95" s="54">
        <f t="shared" si="38"/>
        <v>0</v>
      </c>
      <c r="F95" s="54">
        <v>0</v>
      </c>
      <c r="G95" s="54">
        <v>0</v>
      </c>
      <c r="H95" s="54">
        <v>0</v>
      </c>
      <c r="I95" s="54">
        <v>0</v>
      </c>
      <c r="J95" s="54">
        <v>12000</v>
      </c>
    </row>
    <row r="96" spans="1:10" ht="25.5">
      <c r="A96" s="5"/>
      <c r="B96" s="123" t="s">
        <v>286</v>
      </c>
      <c r="C96" s="54">
        <f>C97+C98+C99+C100+C101+C102</f>
        <v>270000</v>
      </c>
      <c r="D96" s="54">
        <f aca="true" t="shared" si="39" ref="D96:J96">D97+D98+D99+D100+D101+D102</f>
        <v>0</v>
      </c>
      <c r="E96" s="54">
        <f t="shared" si="39"/>
        <v>0</v>
      </c>
      <c r="F96" s="54">
        <f t="shared" si="39"/>
        <v>0</v>
      </c>
      <c r="G96" s="54">
        <f t="shared" si="39"/>
        <v>0</v>
      </c>
      <c r="H96" s="54">
        <f t="shared" si="39"/>
        <v>0</v>
      </c>
      <c r="I96" s="54">
        <f t="shared" si="39"/>
        <v>0</v>
      </c>
      <c r="J96" s="54">
        <f t="shared" si="39"/>
        <v>270000</v>
      </c>
    </row>
    <row r="97" spans="1:10" ht="12.75">
      <c r="A97" s="5"/>
      <c r="B97" s="124">
        <v>2012</v>
      </c>
      <c r="C97" s="54">
        <f aca="true" t="shared" si="40" ref="C97:C102">D97+E97+I97+J97</f>
        <v>30000</v>
      </c>
      <c r="D97" s="54">
        <v>0</v>
      </c>
      <c r="E97" s="54">
        <f aca="true" t="shared" si="41" ref="E97:E102">F97+G97+H97</f>
        <v>0</v>
      </c>
      <c r="F97" s="54">
        <v>0</v>
      </c>
      <c r="G97" s="54">
        <v>0</v>
      </c>
      <c r="H97" s="54">
        <v>0</v>
      </c>
      <c r="I97" s="54">
        <v>0</v>
      </c>
      <c r="J97" s="54">
        <v>30000</v>
      </c>
    </row>
    <row r="98" spans="1:10" ht="12.75">
      <c r="A98" s="5"/>
      <c r="B98" s="124">
        <v>2013</v>
      </c>
      <c r="C98" s="54">
        <f t="shared" si="40"/>
        <v>30000</v>
      </c>
      <c r="D98" s="54">
        <v>0</v>
      </c>
      <c r="E98" s="54">
        <f t="shared" si="41"/>
        <v>0</v>
      </c>
      <c r="F98" s="54">
        <v>0</v>
      </c>
      <c r="G98" s="54">
        <v>0</v>
      </c>
      <c r="H98" s="54">
        <v>0</v>
      </c>
      <c r="I98" s="54">
        <v>0</v>
      </c>
      <c r="J98" s="54">
        <v>30000</v>
      </c>
    </row>
    <row r="99" spans="1:10" ht="12.75">
      <c r="A99" s="5"/>
      <c r="B99" s="124">
        <v>2014</v>
      </c>
      <c r="C99" s="54">
        <f t="shared" si="40"/>
        <v>30000</v>
      </c>
      <c r="D99" s="54">
        <v>0</v>
      </c>
      <c r="E99" s="54">
        <f t="shared" si="41"/>
        <v>0</v>
      </c>
      <c r="F99" s="54">
        <v>0</v>
      </c>
      <c r="G99" s="54">
        <v>0</v>
      </c>
      <c r="H99" s="54">
        <v>0</v>
      </c>
      <c r="I99" s="54">
        <v>0</v>
      </c>
      <c r="J99" s="54">
        <v>30000</v>
      </c>
    </row>
    <row r="100" spans="1:10" ht="12.75">
      <c r="A100" s="5"/>
      <c r="B100" s="124">
        <v>2015</v>
      </c>
      <c r="C100" s="54">
        <f t="shared" si="40"/>
        <v>30000</v>
      </c>
      <c r="D100" s="54">
        <v>0</v>
      </c>
      <c r="E100" s="54">
        <f t="shared" si="41"/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30000</v>
      </c>
    </row>
    <row r="101" spans="1:10" ht="12.75">
      <c r="A101" s="5"/>
      <c r="B101" s="124">
        <v>2016</v>
      </c>
      <c r="C101" s="54">
        <f t="shared" si="40"/>
        <v>30000</v>
      </c>
      <c r="D101" s="54">
        <v>0</v>
      </c>
      <c r="E101" s="54">
        <f t="shared" si="41"/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30000</v>
      </c>
    </row>
    <row r="102" spans="1:10" ht="12.75">
      <c r="A102" s="5"/>
      <c r="B102" s="124" t="s">
        <v>325</v>
      </c>
      <c r="C102" s="54">
        <f t="shared" si="40"/>
        <v>120000</v>
      </c>
      <c r="D102" s="54">
        <v>0</v>
      </c>
      <c r="E102" s="54">
        <f t="shared" si="41"/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120000</v>
      </c>
    </row>
    <row r="103" spans="1:10" ht="38.25">
      <c r="A103" s="5"/>
      <c r="B103" s="123" t="s">
        <v>287</v>
      </c>
      <c r="C103" s="54">
        <f>C104+C105+C106+C107+C108+C109</f>
        <v>130000</v>
      </c>
      <c r="D103" s="54">
        <f aca="true" t="shared" si="42" ref="D103:J103">D104+D105+D106+D107+D108+D109</f>
        <v>0</v>
      </c>
      <c r="E103" s="54">
        <f t="shared" si="42"/>
        <v>0</v>
      </c>
      <c r="F103" s="54">
        <f t="shared" si="42"/>
        <v>0</v>
      </c>
      <c r="G103" s="54">
        <f t="shared" si="42"/>
        <v>0</v>
      </c>
      <c r="H103" s="54">
        <f t="shared" si="42"/>
        <v>0</v>
      </c>
      <c r="I103" s="54">
        <f t="shared" si="42"/>
        <v>0</v>
      </c>
      <c r="J103" s="54">
        <f t="shared" si="42"/>
        <v>130000</v>
      </c>
    </row>
    <row r="104" spans="1:10" ht="12.75">
      <c r="A104" s="5"/>
      <c r="B104" s="124">
        <v>2012</v>
      </c>
      <c r="C104" s="54">
        <f aca="true" t="shared" si="43" ref="C104:C109">D104+E104+I104+J104</f>
        <v>10000</v>
      </c>
      <c r="D104" s="54">
        <v>0</v>
      </c>
      <c r="E104" s="54">
        <f aca="true" t="shared" si="44" ref="E104:E109">F104+G104+H104</f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10000</v>
      </c>
    </row>
    <row r="105" spans="1:10" ht="12.75">
      <c r="A105" s="5"/>
      <c r="B105" s="124">
        <v>2013</v>
      </c>
      <c r="C105" s="54">
        <f t="shared" si="43"/>
        <v>15000</v>
      </c>
      <c r="D105" s="54">
        <v>0</v>
      </c>
      <c r="E105" s="54">
        <f t="shared" si="44"/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15000</v>
      </c>
    </row>
    <row r="106" spans="1:10" ht="12.75">
      <c r="A106" s="5"/>
      <c r="B106" s="124">
        <v>2014</v>
      </c>
      <c r="C106" s="54">
        <f t="shared" si="43"/>
        <v>15000</v>
      </c>
      <c r="D106" s="54">
        <v>0</v>
      </c>
      <c r="E106" s="54">
        <f t="shared" si="44"/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15000</v>
      </c>
    </row>
    <row r="107" spans="1:10" ht="12.75">
      <c r="A107" s="5"/>
      <c r="B107" s="124">
        <v>2015</v>
      </c>
      <c r="C107" s="54">
        <f t="shared" si="43"/>
        <v>15000</v>
      </c>
      <c r="D107" s="54">
        <v>0</v>
      </c>
      <c r="E107" s="54">
        <f t="shared" si="44"/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15000</v>
      </c>
    </row>
    <row r="108" spans="1:10" ht="12.75">
      <c r="A108" s="5"/>
      <c r="B108" s="124">
        <v>2016</v>
      </c>
      <c r="C108" s="54">
        <f t="shared" si="43"/>
        <v>15000</v>
      </c>
      <c r="D108" s="54">
        <v>0</v>
      </c>
      <c r="E108" s="54">
        <f t="shared" si="44"/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15000</v>
      </c>
    </row>
    <row r="109" spans="1:10" ht="12.75">
      <c r="A109" s="5"/>
      <c r="B109" s="124" t="s">
        <v>325</v>
      </c>
      <c r="C109" s="54">
        <f t="shared" si="43"/>
        <v>60000</v>
      </c>
      <c r="D109" s="54">
        <v>0</v>
      </c>
      <c r="E109" s="54">
        <f t="shared" si="44"/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60000</v>
      </c>
    </row>
    <row r="110" spans="1:10" ht="12.75">
      <c r="A110" s="5"/>
      <c r="B110" s="123" t="s">
        <v>288</v>
      </c>
      <c r="C110" s="54">
        <f>C111+C112+C113+C114+C115+C116</f>
        <v>120000</v>
      </c>
      <c r="D110" s="54">
        <f aca="true" t="shared" si="45" ref="D110:J110">D111+D112+D113+D114+D115+D116</f>
        <v>0</v>
      </c>
      <c r="E110" s="54">
        <f t="shared" si="45"/>
        <v>0</v>
      </c>
      <c r="F110" s="54">
        <f t="shared" si="45"/>
        <v>0</v>
      </c>
      <c r="G110" s="54">
        <f t="shared" si="45"/>
        <v>0</v>
      </c>
      <c r="H110" s="54">
        <f t="shared" si="45"/>
        <v>0</v>
      </c>
      <c r="I110" s="54">
        <f t="shared" si="45"/>
        <v>0</v>
      </c>
      <c r="J110" s="54">
        <f t="shared" si="45"/>
        <v>120000</v>
      </c>
    </row>
    <row r="111" spans="1:10" ht="12.75">
      <c r="A111" s="5"/>
      <c r="B111" s="124">
        <v>2012</v>
      </c>
      <c r="C111" s="54">
        <f aca="true" t="shared" si="46" ref="C111:C116">D111+E111+I111+J111</f>
        <v>10000</v>
      </c>
      <c r="D111" s="54">
        <v>0</v>
      </c>
      <c r="E111" s="54">
        <f aca="true" t="shared" si="47" ref="E111:E116">F111+G111+H111</f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10000</v>
      </c>
    </row>
    <row r="112" spans="1:10" ht="12.75">
      <c r="A112" s="5"/>
      <c r="B112" s="124">
        <v>2013</v>
      </c>
      <c r="C112" s="54">
        <f t="shared" si="46"/>
        <v>12000</v>
      </c>
      <c r="D112" s="54">
        <v>0</v>
      </c>
      <c r="E112" s="54">
        <f t="shared" si="47"/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12000</v>
      </c>
    </row>
    <row r="113" spans="1:10" ht="12.75">
      <c r="A113" s="5"/>
      <c r="B113" s="124">
        <v>2014</v>
      </c>
      <c r="C113" s="54">
        <f t="shared" si="46"/>
        <v>14000</v>
      </c>
      <c r="D113" s="54">
        <v>0</v>
      </c>
      <c r="E113" s="54">
        <f t="shared" si="47"/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14000</v>
      </c>
    </row>
    <row r="114" spans="1:10" ht="12.75">
      <c r="A114" s="5"/>
      <c r="B114" s="124">
        <v>2015</v>
      </c>
      <c r="C114" s="54">
        <f t="shared" si="46"/>
        <v>14000</v>
      </c>
      <c r="D114" s="54">
        <v>0</v>
      </c>
      <c r="E114" s="54">
        <f t="shared" si="47"/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14000</v>
      </c>
    </row>
    <row r="115" spans="1:10" ht="12.75">
      <c r="A115" s="5"/>
      <c r="B115" s="124">
        <v>2016</v>
      </c>
      <c r="C115" s="54">
        <f t="shared" si="46"/>
        <v>14000</v>
      </c>
      <c r="D115" s="54">
        <v>0</v>
      </c>
      <c r="E115" s="54">
        <f t="shared" si="47"/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14000</v>
      </c>
    </row>
    <row r="116" spans="1:10" ht="12.75">
      <c r="A116" s="5"/>
      <c r="B116" s="124" t="s">
        <v>325</v>
      </c>
      <c r="C116" s="54">
        <f t="shared" si="46"/>
        <v>56000</v>
      </c>
      <c r="D116" s="54">
        <v>0</v>
      </c>
      <c r="E116" s="54">
        <f t="shared" si="47"/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56000</v>
      </c>
    </row>
    <row r="117" spans="1:10" ht="25.5">
      <c r="A117" s="5"/>
      <c r="B117" s="123" t="s">
        <v>289</v>
      </c>
      <c r="C117" s="54">
        <f>C118+C119+C120+C121+C122+C123</f>
        <v>14000</v>
      </c>
      <c r="D117" s="54">
        <f aca="true" t="shared" si="48" ref="D117:J117">D118+D119+D120+D121+D122+D123</f>
        <v>0</v>
      </c>
      <c r="E117" s="54">
        <f t="shared" si="48"/>
        <v>0</v>
      </c>
      <c r="F117" s="54">
        <f t="shared" si="48"/>
        <v>0</v>
      </c>
      <c r="G117" s="54">
        <f t="shared" si="48"/>
        <v>0</v>
      </c>
      <c r="H117" s="54">
        <f t="shared" si="48"/>
        <v>0</v>
      </c>
      <c r="I117" s="54">
        <f t="shared" si="48"/>
        <v>0</v>
      </c>
      <c r="J117" s="54">
        <f t="shared" si="48"/>
        <v>14000</v>
      </c>
    </row>
    <row r="118" spans="1:10" ht="12.75">
      <c r="A118" s="5"/>
      <c r="B118" s="124">
        <v>2012</v>
      </c>
      <c r="C118" s="54">
        <f aca="true" t="shared" si="49" ref="C118:C123">D118+E118+I118+J118</f>
        <v>2000</v>
      </c>
      <c r="D118" s="54">
        <v>0</v>
      </c>
      <c r="E118" s="54">
        <f aca="true" t="shared" si="50" ref="E118:E123">F118+G118+H118</f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2000</v>
      </c>
    </row>
    <row r="119" spans="1:10" ht="12.75">
      <c r="A119" s="5"/>
      <c r="B119" s="124">
        <v>2013</v>
      </c>
      <c r="C119" s="54">
        <f t="shared" si="49"/>
        <v>2000</v>
      </c>
      <c r="D119" s="54">
        <v>0</v>
      </c>
      <c r="E119" s="54">
        <f t="shared" si="50"/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2000</v>
      </c>
    </row>
    <row r="120" spans="1:10" ht="12.75">
      <c r="A120" s="5"/>
      <c r="B120" s="124">
        <v>2014</v>
      </c>
      <c r="C120" s="54">
        <f t="shared" si="49"/>
        <v>2000</v>
      </c>
      <c r="D120" s="54">
        <v>0</v>
      </c>
      <c r="E120" s="54">
        <f t="shared" si="50"/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2000</v>
      </c>
    </row>
    <row r="121" spans="1:10" ht="12.75">
      <c r="A121" s="5"/>
      <c r="B121" s="124">
        <v>2015</v>
      </c>
      <c r="C121" s="54">
        <f t="shared" si="49"/>
        <v>2000</v>
      </c>
      <c r="D121" s="54">
        <v>0</v>
      </c>
      <c r="E121" s="54">
        <f t="shared" si="50"/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2000</v>
      </c>
    </row>
    <row r="122" spans="1:10" ht="12.75">
      <c r="A122" s="5"/>
      <c r="B122" s="124">
        <v>2016</v>
      </c>
      <c r="C122" s="54">
        <f t="shared" si="49"/>
        <v>2000</v>
      </c>
      <c r="D122" s="54">
        <v>0</v>
      </c>
      <c r="E122" s="54">
        <f t="shared" si="50"/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2000</v>
      </c>
    </row>
    <row r="123" spans="1:10" ht="12.75">
      <c r="A123" s="5"/>
      <c r="B123" s="124" t="s">
        <v>325</v>
      </c>
      <c r="C123" s="54">
        <f t="shared" si="49"/>
        <v>4000</v>
      </c>
      <c r="D123" s="54">
        <v>0</v>
      </c>
      <c r="E123" s="54">
        <f t="shared" si="50"/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4000</v>
      </c>
    </row>
    <row r="124" spans="1:10" ht="63.75">
      <c r="A124" s="5"/>
      <c r="B124" s="123" t="s">
        <v>290</v>
      </c>
      <c r="C124" s="54">
        <f>C125+C126+C127+C128+C129+C130</f>
        <v>2500</v>
      </c>
      <c r="D124" s="54">
        <f aca="true" t="shared" si="51" ref="D124:J124">D125+D126+D127+D128+D129+D130</f>
        <v>0</v>
      </c>
      <c r="E124" s="54">
        <f t="shared" si="51"/>
        <v>0</v>
      </c>
      <c r="F124" s="54">
        <f t="shared" si="51"/>
        <v>0</v>
      </c>
      <c r="G124" s="54">
        <f t="shared" si="51"/>
        <v>0</v>
      </c>
      <c r="H124" s="54">
        <f t="shared" si="51"/>
        <v>0</v>
      </c>
      <c r="I124" s="54">
        <f t="shared" si="51"/>
        <v>0</v>
      </c>
      <c r="J124" s="54">
        <f t="shared" si="51"/>
        <v>2500</v>
      </c>
    </row>
    <row r="125" spans="1:10" ht="12.75">
      <c r="A125" s="5"/>
      <c r="B125" s="124">
        <v>2012</v>
      </c>
      <c r="C125" s="54">
        <f aca="true" t="shared" si="52" ref="C125:C130">D125+E125+I125+J125</f>
        <v>500</v>
      </c>
      <c r="D125" s="54">
        <v>0</v>
      </c>
      <c r="E125" s="54">
        <f aca="true" t="shared" si="53" ref="E125:E130">F125+G125+H125</f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500</v>
      </c>
    </row>
    <row r="126" spans="1:10" ht="12.75">
      <c r="A126" s="5"/>
      <c r="B126" s="124">
        <v>2013</v>
      </c>
      <c r="C126" s="54">
        <f t="shared" si="52"/>
        <v>0</v>
      </c>
      <c r="D126" s="54">
        <v>0</v>
      </c>
      <c r="E126" s="54">
        <f t="shared" si="53"/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</row>
    <row r="127" spans="1:10" ht="12.75">
      <c r="A127" s="5"/>
      <c r="B127" s="124">
        <v>2014</v>
      </c>
      <c r="C127" s="54">
        <f t="shared" si="52"/>
        <v>500</v>
      </c>
      <c r="D127" s="54">
        <v>0</v>
      </c>
      <c r="E127" s="54">
        <f t="shared" si="53"/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500</v>
      </c>
    </row>
    <row r="128" spans="1:10" ht="12.75">
      <c r="A128" s="5"/>
      <c r="B128" s="124">
        <v>2015</v>
      </c>
      <c r="C128" s="54">
        <f t="shared" si="52"/>
        <v>0</v>
      </c>
      <c r="D128" s="54">
        <v>0</v>
      </c>
      <c r="E128" s="54">
        <f t="shared" si="53"/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</row>
    <row r="129" spans="1:10" ht="12.75">
      <c r="A129" s="5"/>
      <c r="B129" s="124">
        <v>2016</v>
      </c>
      <c r="C129" s="54">
        <f t="shared" si="52"/>
        <v>500</v>
      </c>
      <c r="D129" s="54">
        <v>0</v>
      </c>
      <c r="E129" s="54">
        <f t="shared" si="53"/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500</v>
      </c>
    </row>
    <row r="130" spans="1:10" ht="12.75">
      <c r="A130" s="5"/>
      <c r="B130" s="124" t="s">
        <v>325</v>
      </c>
      <c r="C130" s="54">
        <f t="shared" si="52"/>
        <v>1000</v>
      </c>
      <c r="D130" s="54">
        <v>0</v>
      </c>
      <c r="E130" s="54">
        <f t="shared" si="53"/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1000</v>
      </c>
    </row>
    <row r="131" spans="1:10" ht="25.5">
      <c r="A131" s="5"/>
      <c r="B131" s="123" t="s">
        <v>291</v>
      </c>
      <c r="C131" s="54">
        <f>C132+C133+C134+C135+C136+C137</f>
        <v>1800</v>
      </c>
      <c r="D131" s="54">
        <f aca="true" t="shared" si="54" ref="D131:J131">D132+D133+D134+D135+D136+D137</f>
        <v>0</v>
      </c>
      <c r="E131" s="54">
        <f t="shared" si="54"/>
        <v>0</v>
      </c>
      <c r="F131" s="54">
        <f t="shared" si="54"/>
        <v>0</v>
      </c>
      <c r="G131" s="54">
        <f t="shared" si="54"/>
        <v>0</v>
      </c>
      <c r="H131" s="54">
        <f t="shared" si="54"/>
        <v>0</v>
      </c>
      <c r="I131" s="54">
        <f t="shared" si="54"/>
        <v>0</v>
      </c>
      <c r="J131" s="54">
        <f t="shared" si="54"/>
        <v>1800</v>
      </c>
    </row>
    <row r="132" spans="1:10" ht="12.75">
      <c r="A132" s="5"/>
      <c r="B132" s="124">
        <v>2012</v>
      </c>
      <c r="C132" s="54">
        <f aca="true" t="shared" si="55" ref="C132:C137">D132+E132+I132+J132</f>
        <v>200</v>
      </c>
      <c r="D132" s="54">
        <v>0</v>
      </c>
      <c r="E132" s="54">
        <f aca="true" t="shared" si="56" ref="E132:E137">F132+G132+H132</f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200</v>
      </c>
    </row>
    <row r="133" spans="1:10" ht="12.75">
      <c r="A133" s="5"/>
      <c r="B133" s="124">
        <v>2013</v>
      </c>
      <c r="C133" s="54">
        <f t="shared" si="55"/>
        <v>200</v>
      </c>
      <c r="D133" s="54">
        <v>0</v>
      </c>
      <c r="E133" s="54">
        <f t="shared" si="56"/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200</v>
      </c>
    </row>
    <row r="134" spans="1:10" ht="12.75">
      <c r="A134" s="5"/>
      <c r="B134" s="124">
        <v>2014</v>
      </c>
      <c r="C134" s="54">
        <f t="shared" si="55"/>
        <v>200</v>
      </c>
      <c r="D134" s="54">
        <v>0</v>
      </c>
      <c r="E134" s="54">
        <f t="shared" si="56"/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200</v>
      </c>
    </row>
    <row r="135" spans="1:10" ht="12.75">
      <c r="A135" s="5"/>
      <c r="B135" s="124">
        <v>2015</v>
      </c>
      <c r="C135" s="54">
        <f t="shared" si="55"/>
        <v>200</v>
      </c>
      <c r="D135" s="54">
        <v>0</v>
      </c>
      <c r="E135" s="54">
        <f t="shared" si="56"/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200</v>
      </c>
    </row>
    <row r="136" spans="1:10" ht="12.75">
      <c r="A136" s="5"/>
      <c r="B136" s="124">
        <v>2016</v>
      </c>
      <c r="C136" s="54">
        <f t="shared" si="55"/>
        <v>200</v>
      </c>
      <c r="D136" s="54">
        <v>0</v>
      </c>
      <c r="E136" s="54">
        <f t="shared" si="56"/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200</v>
      </c>
    </row>
    <row r="137" spans="1:10" ht="12.75">
      <c r="A137" s="5"/>
      <c r="B137" s="124" t="s">
        <v>325</v>
      </c>
      <c r="C137" s="54">
        <f t="shared" si="55"/>
        <v>800</v>
      </c>
      <c r="D137" s="54">
        <v>0</v>
      </c>
      <c r="E137" s="54">
        <f t="shared" si="56"/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800</v>
      </c>
    </row>
    <row r="138" spans="1:10" ht="25.5">
      <c r="A138" s="5"/>
      <c r="B138" s="123" t="s">
        <v>292</v>
      </c>
      <c r="C138" s="54">
        <f>C139+C140+C141+C142+C143+C144</f>
        <v>200000</v>
      </c>
      <c r="D138" s="54">
        <f aca="true" t="shared" si="57" ref="D138:J138">D139+D140+D141+D142+D143+D144</f>
        <v>0</v>
      </c>
      <c r="E138" s="54">
        <f t="shared" si="57"/>
        <v>0</v>
      </c>
      <c r="F138" s="54">
        <f t="shared" si="57"/>
        <v>0</v>
      </c>
      <c r="G138" s="54">
        <f t="shared" si="57"/>
        <v>0</v>
      </c>
      <c r="H138" s="54">
        <f t="shared" si="57"/>
        <v>0</v>
      </c>
      <c r="I138" s="54">
        <f t="shared" si="57"/>
        <v>0</v>
      </c>
      <c r="J138" s="54">
        <f t="shared" si="57"/>
        <v>200000</v>
      </c>
    </row>
    <row r="139" spans="1:10" ht="12.75">
      <c r="A139" s="5"/>
      <c r="B139" s="124">
        <v>2012</v>
      </c>
      <c r="C139" s="54">
        <f aca="true" t="shared" si="58" ref="C139:C144">D139+E139+I139+J139</f>
        <v>20000</v>
      </c>
      <c r="D139" s="54">
        <v>0</v>
      </c>
      <c r="E139" s="54">
        <f aca="true" t="shared" si="59" ref="E139:E144">F139+G139+H139</f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20000</v>
      </c>
    </row>
    <row r="140" spans="1:10" ht="12.75">
      <c r="A140" s="5"/>
      <c r="B140" s="124">
        <v>2013</v>
      </c>
      <c r="C140" s="54">
        <f t="shared" si="58"/>
        <v>20000</v>
      </c>
      <c r="D140" s="54">
        <v>0</v>
      </c>
      <c r="E140" s="54">
        <f t="shared" si="59"/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20000</v>
      </c>
    </row>
    <row r="141" spans="1:10" ht="12.75">
      <c r="A141" s="5"/>
      <c r="B141" s="124">
        <v>2014</v>
      </c>
      <c r="C141" s="54">
        <f t="shared" si="58"/>
        <v>20000</v>
      </c>
      <c r="D141" s="54">
        <v>0</v>
      </c>
      <c r="E141" s="54">
        <f t="shared" si="59"/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20000</v>
      </c>
    </row>
    <row r="142" spans="1:10" ht="12.75">
      <c r="A142" s="5"/>
      <c r="B142" s="124">
        <v>2015</v>
      </c>
      <c r="C142" s="54">
        <f t="shared" si="58"/>
        <v>20000</v>
      </c>
      <c r="D142" s="54">
        <v>0</v>
      </c>
      <c r="E142" s="54">
        <f t="shared" si="59"/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20000</v>
      </c>
    </row>
    <row r="143" spans="1:10" ht="12.75">
      <c r="A143" s="5"/>
      <c r="B143" s="124">
        <v>2016</v>
      </c>
      <c r="C143" s="54">
        <f t="shared" si="58"/>
        <v>20000</v>
      </c>
      <c r="D143" s="54">
        <v>0</v>
      </c>
      <c r="E143" s="54">
        <f t="shared" si="59"/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20000</v>
      </c>
    </row>
    <row r="144" spans="1:10" ht="12.75">
      <c r="A144" s="5"/>
      <c r="B144" s="124" t="s">
        <v>325</v>
      </c>
      <c r="C144" s="54">
        <f t="shared" si="58"/>
        <v>100000</v>
      </c>
      <c r="D144" s="54">
        <v>0</v>
      </c>
      <c r="E144" s="54">
        <f t="shared" si="59"/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100000</v>
      </c>
    </row>
    <row r="145" spans="1:10" ht="25.5">
      <c r="A145" s="5"/>
      <c r="B145" s="123" t="s">
        <v>293</v>
      </c>
      <c r="C145" s="54">
        <f>C146+C147+C148+C149+C150+C151</f>
        <v>32500</v>
      </c>
      <c r="D145" s="54">
        <f aca="true" t="shared" si="60" ref="D145:J145">D146+D147+D148+D149+D150+D151</f>
        <v>0</v>
      </c>
      <c r="E145" s="54">
        <f t="shared" si="60"/>
        <v>0</v>
      </c>
      <c r="F145" s="54">
        <f t="shared" si="60"/>
        <v>0</v>
      </c>
      <c r="G145" s="54">
        <f t="shared" si="60"/>
        <v>0</v>
      </c>
      <c r="H145" s="54">
        <f t="shared" si="60"/>
        <v>0</v>
      </c>
      <c r="I145" s="54">
        <f t="shared" si="60"/>
        <v>0</v>
      </c>
      <c r="J145" s="54">
        <f t="shared" si="60"/>
        <v>32500</v>
      </c>
    </row>
    <row r="146" spans="1:10" ht="12.75">
      <c r="A146" s="5"/>
      <c r="B146" s="124">
        <v>2012</v>
      </c>
      <c r="C146" s="54">
        <f aca="true" t="shared" si="61" ref="C146:C152">D146+E146+I146+J146</f>
        <v>3300</v>
      </c>
      <c r="D146" s="54">
        <v>0</v>
      </c>
      <c r="E146" s="54">
        <f aca="true" t="shared" si="62" ref="E146:E151">F146+G146+H146</f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3300</v>
      </c>
    </row>
    <row r="147" spans="1:10" ht="12.75">
      <c r="A147" s="5"/>
      <c r="B147" s="124">
        <v>2013</v>
      </c>
      <c r="C147" s="54">
        <f t="shared" si="61"/>
        <v>3300</v>
      </c>
      <c r="D147" s="54">
        <v>0</v>
      </c>
      <c r="E147" s="54">
        <f t="shared" si="62"/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3300</v>
      </c>
    </row>
    <row r="148" spans="1:10" ht="12.75">
      <c r="A148" s="5"/>
      <c r="B148" s="124">
        <v>2014</v>
      </c>
      <c r="C148" s="54">
        <f t="shared" si="61"/>
        <v>3300</v>
      </c>
      <c r="D148" s="54">
        <v>0</v>
      </c>
      <c r="E148" s="54">
        <f t="shared" si="62"/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3300</v>
      </c>
    </row>
    <row r="149" spans="1:10" ht="12.75">
      <c r="A149" s="5"/>
      <c r="B149" s="124">
        <v>2015</v>
      </c>
      <c r="C149" s="54">
        <f t="shared" si="61"/>
        <v>3300</v>
      </c>
      <c r="D149" s="54">
        <v>0</v>
      </c>
      <c r="E149" s="54">
        <f t="shared" si="62"/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3300</v>
      </c>
    </row>
    <row r="150" spans="1:10" ht="12.75">
      <c r="A150" s="5"/>
      <c r="B150" s="124">
        <v>2016</v>
      </c>
      <c r="C150" s="54">
        <f t="shared" si="61"/>
        <v>3300</v>
      </c>
      <c r="D150" s="54">
        <v>0</v>
      </c>
      <c r="E150" s="54">
        <f t="shared" si="62"/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3300</v>
      </c>
    </row>
    <row r="151" spans="1:10" ht="12.75">
      <c r="A151" s="5"/>
      <c r="B151" s="124" t="s">
        <v>325</v>
      </c>
      <c r="C151" s="54">
        <f t="shared" si="61"/>
        <v>16000</v>
      </c>
      <c r="D151" s="54">
        <v>0</v>
      </c>
      <c r="E151" s="54">
        <f t="shared" si="62"/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16000</v>
      </c>
    </row>
    <row r="152" spans="1:10" ht="38.25">
      <c r="A152" s="5"/>
      <c r="B152" s="123" t="s">
        <v>294</v>
      </c>
      <c r="C152" s="54">
        <f t="shared" si="61"/>
        <v>2975600</v>
      </c>
      <c r="D152" s="54">
        <f>D153+D160+D167+D174+D181+D188+D195+D202</f>
        <v>0</v>
      </c>
      <c r="E152" s="54">
        <f aca="true" t="shared" si="63" ref="E152:J152">E153+E160+E167+E174+E181+E188+E195+E202</f>
        <v>0</v>
      </c>
      <c r="F152" s="54">
        <f t="shared" si="63"/>
        <v>0</v>
      </c>
      <c r="G152" s="54">
        <f t="shared" si="63"/>
        <v>0</v>
      </c>
      <c r="H152" s="54">
        <f t="shared" si="63"/>
        <v>0</v>
      </c>
      <c r="I152" s="54">
        <f t="shared" si="63"/>
        <v>0</v>
      </c>
      <c r="J152" s="54">
        <f t="shared" si="63"/>
        <v>2975600</v>
      </c>
    </row>
    <row r="153" spans="1:10" ht="38.25">
      <c r="A153" s="5"/>
      <c r="B153" s="123" t="s">
        <v>295</v>
      </c>
      <c r="C153" s="54">
        <f>C154+C155+C156+C157+C158+C159</f>
        <v>5000</v>
      </c>
      <c r="D153" s="54">
        <f aca="true" t="shared" si="64" ref="D153:J153">D154+D155+D156+D157+D158+D159</f>
        <v>0</v>
      </c>
      <c r="E153" s="54">
        <f t="shared" si="64"/>
        <v>0</v>
      </c>
      <c r="F153" s="54">
        <f t="shared" si="64"/>
        <v>0</v>
      </c>
      <c r="G153" s="54">
        <f t="shared" si="64"/>
        <v>0</v>
      </c>
      <c r="H153" s="54">
        <f t="shared" si="64"/>
        <v>0</v>
      </c>
      <c r="I153" s="54">
        <f t="shared" si="64"/>
        <v>0</v>
      </c>
      <c r="J153" s="54">
        <f t="shared" si="64"/>
        <v>5000</v>
      </c>
    </row>
    <row r="154" spans="1:10" ht="12.75">
      <c r="A154" s="5"/>
      <c r="B154" s="124">
        <v>2012</v>
      </c>
      <c r="C154" s="54">
        <f aca="true" t="shared" si="65" ref="C154:C159">D154+E154+I154+J154</f>
        <v>5000</v>
      </c>
      <c r="D154" s="54">
        <v>0</v>
      </c>
      <c r="E154" s="54">
        <f>G154</f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5000</v>
      </c>
    </row>
    <row r="155" spans="1:10" ht="12.75">
      <c r="A155" s="5"/>
      <c r="B155" s="124">
        <v>2013</v>
      </c>
      <c r="C155" s="54">
        <f t="shared" si="65"/>
        <v>0</v>
      </c>
      <c r="D155" s="54">
        <v>0</v>
      </c>
      <c r="E155" s="54">
        <f>G155</f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</row>
    <row r="156" spans="1:10" ht="12.75">
      <c r="A156" s="5"/>
      <c r="B156" s="124">
        <v>2014</v>
      </c>
      <c r="C156" s="54">
        <f t="shared" si="65"/>
        <v>0</v>
      </c>
      <c r="D156" s="54">
        <v>0</v>
      </c>
      <c r="E156" s="54">
        <f>G156</f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</row>
    <row r="157" spans="1:10" ht="12.75">
      <c r="A157" s="5"/>
      <c r="B157" s="124">
        <v>2015</v>
      </c>
      <c r="C157" s="54">
        <f t="shared" si="65"/>
        <v>0</v>
      </c>
      <c r="D157" s="54">
        <v>0</v>
      </c>
      <c r="E157" s="54">
        <f>G157</f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</row>
    <row r="158" spans="1:10" ht="12.75">
      <c r="A158" s="5"/>
      <c r="B158" s="124">
        <v>2016</v>
      </c>
      <c r="C158" s="54">
        <f t="shared" si="65"/>
        <v>0</v>
      </c>
      <c r="D158" s="54">
        <v>0</v>
      </c>
      <c r="E158" s="54">
        <f>G158</f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</row>
    <row r="159" spans="1:10" ht="12.75">
      <c r="A159" s="5"/>
      <c r="B159" s="124" t="s">
        <v>325</v>
      </c>
      <c r="C159" s="54">
        <f t="shared" si="65"/>
        <v>0</v>
      </c>
      <c r="D159" s="54">
        <v>0</v>
      </c>
      <c r="E159" s="54">
        <f>F159+G159+H159</f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</row>
    <row r="160" spans="1:10" ht="25.5">
      <c r="A160" s="5"/>
      <c r="B160" s="123" t="s">
        <v>296</v>
      </c>
      <c r="C160" s="54">
        <f>C161+C162+C163+C164+C165+C166</f>
        <v>31800</v>
      </c>
      <c r="D160" s="54">
        <f aca="true" t="shared" si="66" ref="D160:J160">D161+D162+D163+D164+D165+D166</f>
        <v>0</v>
      </c>
      <c r="E160" s="54">
        <f t="shared" si="66"/>
        <v>0</v>
      </c>
      <c r="F160" s="54">
        <f t="shared" si="66"/>
        <v>0</v>
      </c>
      <c r="G160" s="54">
        <f t="shared" si="66"/>
        <v>0</v>
      </c>
      <c r="H160" s="54">
        <f t="shared" si="66"/>
        <v>0</v>
      </c>
      <c r="I160" s="54">
        <f t="shared" si="66"/>
        <v>0</v>
      </c>
      <c r="J160" s="54">
        <f t="shared" si="66"/>
        <v>31800</v>
      </c>
    </row>
    <row r="161" spans="1:10" ht="12.75">
      <c r="A161" s="5"/>
      <c r="B161" s="124">
        <v>2012</v>
      </c>
      <c r="C161" s="54">
        <f aca="true" t="shared" si="67" ref="C161:C166">D161+E161+I161+J161</f>
        <v>15000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15000</v>
      </c>
    </row>
    <row r="162" spans="1:10" ht="12.75">
      <c r="A162" s="5"/>
      <c r="B162" s="124">
        <v>2013</v>
      </c>
      <c r="C162" s="54">
        <f t="shared" si="67"/>
        <v>2800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2800</v>
      </c>
    </row>
    <row r="163" spans="1:10" ht="12.75">
      <c r="A163" s="5"/>
      <c r="B163" s="124">
        <v>2014</v>
      </c>
      <c r="C163" s="54">
        <f t="shared" si="67"/>
        <v>2800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2800</v>
      </c>
    </row>
    <row r="164" spans="1:10" ht="12.75">
      <c r="A164" s="5"/>
      <c r="B164" s="124">
        <v>2015</v>
      </c>
      <c r="C164" s="54">
        <f t="shared" si="67"/>
        <v>2800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2800</v>
      </c>
    </row>
    <row r="165" spans="1:10" ht="12.75">
      <c r="A165" s="5"/>
      <c r="B165" s="124">
        <v>2016</v>
      </c>
      <c r="C165" s="54">
        <f t="shared" si="67"/>
        <v>2800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2800</v>
      </c>
    </row>
    <row r="166" spans="1:10" ht="12.75">
      <c r="A166" s="5"/>
      <c r="B166" s="124" t="s">
        <v>325</v>
      </c>
      <c r="C166" s="54">
        <f t="shared" si="67"/>
        <v>5600</v>
      </c>
      <c r="D166" s="54">
        <v>0</v>
      </c>
      <c r="E166" s="54">
        <f>F166+G166+H166</f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5600</v>
      </c>
    </row>
    <row r="167" spans="1:10" ht="25.5">
      <c r="A167" s="5"/>
      <c r="B167" s="123" t="s">
        <v>297</v>
      </c>
      <c r="C167" s="54">
        <f>C168+C169+C170+C171+C172+C173</f>
        <v>17300</v>
      </c>
      <c r="D167" s="54">
        <f aca="true" t="shared" si="68" ref="D167:J167">D168+D169+D170+D171+D172+D173</f>
        <v>0</v>
      </c>
      <c r="E167" s="54">
        <f t="shared" si="68"/>
        <v>0</v>
      </c>
      <c r="F167" s="54">
        <f t="shared" si="68"/>
        <v>0</v>
      </c>
      <c r="G167" s="54">
        <f t="shared" si="68"/>
        <v>0</v>
      </c>
      <c r="H167" s="54">
        <f t="shared" si="68"/>
        <v>0</v>
      </c>
      <c r="I167" s="54">
        <f t="shared" si="68"/>
        <v>0</v>
      </c>
      <c r="J167" s="54">
        <f t="shared" si="68"/>
        <v>17300</v>
      </c>
    </row>
    <row r="168" spans="1:10" ht="12.75">
      <c r="A168" s="5"/>
      <c r="B168" s="124">
        <v>2012</v>
      </c>
      <c r="C168" s="54">
        <f aca="true" t="shared" si="69" ref="C168:C173">D168+E168+I168+J168</f>
        <v>2900</v>
      </c>
      <c r="D168" s="54">
        <v>0</v>
      </c>
      <c r="E168" s="54">
        <f>G168</f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2900</v>
      </c>
    </row>
    <row r="169" spans="1:10" ht="12.75">
      <c r="A169" s="5"/>
      <c r="B169" s="124">
        <v>2013</v>
      </c>
      <c r="C169" s="54">
        <f t="shared" si="69"/>
        <v>1800</v>
      </c>
      <c r="D169" s="54">
        <v>0</v>
      </c>
      <c r="E169" s="54">
        <f>G169</f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1800</v>
      </c>
    </row>
    <row r="170" spans="1:10" ht="12.75">
      <c r="A170" s="5"/>
      <c r="B170" s="124">
        <v>2014</v>
      </c>
      <c r="C170" s="54">
        <f t="shared" si="69"/>
        <v>1800</v>
      </c>
      <c r="D170" s="54">
        <v>0</v>
      </c>
      <c r="E170" s="54">
        <f>G170</f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1800</v>
      </c>
    </row>
    <row r="171" spans="1:10" ht="12.75">
      <c r="A171" s="5"/>
      <c r="B171" s="124">
        <v>2015</v>
      </c>
      <c r="C171" s="54">
        <f t="shared" si="69"/>
        <v>1800</v>
      </c>
      <c r="D171" s="54">
        <v>0</v>
      </c>
      <c r="E171" s="54">
        <f>G171</f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1800</v>
      </c>
    </row>
    <row r="172" spans="1:10" ht="12.75">
      <c r="A172" s="5"/>
      <c r="B172" s="124">
        <v>2016</v>
      </c>
      <c r="C172" s="54">
        <f t="shared" si="69"/>
        <v>1800</v>
      </c>
      <c r="D172" s="54">
        <v>0</v>
      </c>
      <c r="E172" s="54">
        <f>G172</f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1800</v>
      </c>
    </row>
    <row r="173" spans="1:10" ht="12.75">
      <c r="A173" s="5"/>
      <c r="B173" s="124" t="s">
        <v>325</v>
      </c>
      <c r="C173" s="54">
        <f t="shared" si="69"/>
        <v>7200</v>
      </c>
      <c r="D173" s="54">
        <v>0</v>
      </c>
      <c r="E173" s="54">
        <f>F173+G173+H173</f>
        <v>0</v>
      </c>
      <c r="F173" s="54">
        <v>0</v>
      </c>
      <c r="G173" s="54">
        <v>0</v>
      </c>
      <c r="H173" s="54">
        <v>0</v>
      </c>
      <c r="I173" s="54">
        <v>0</v>
      </c>
      <c r="J173" s="54">
        <v>7200</v>
      </c>
    </row>
    <row r="174" spans="1:10" ht="25.5">
      <c r="A174" s="5"/>
      <c r="B174" s="123" t="s">
        <v>298</v>
      </c>
      <c r="C174" s="54">
        <f>C175+C176+C177+C178+C179+C180</f>
        <v>160000</v>
      </c>
      <c r="D174" s="54">
        <f aca="true" t="shared" si="70" ref="D174:J174">D175+D176+D177+D178+D179+D180</f>
        <v>0</v>
      </c>
      <c r="E174" s="54">
        <f t="shared" si="70"/>
        <v>0</v>
      </c>
      <c r="F174" s="54">
        <f t="shared" si="70"/>
        <v>0</v>
      </c>
      <c r="G174" s="54">
        <f t="shared" si="70"/>
        <v>0</v>
      </c>
      <c r="H174" s="54">
        <f t="shared" si="70"/>
        <v>0</v>
      </c>
      <c r="I174" s="54">
        <f t="shared" si="70"/>
        <v>0</v>
      </c>
      <c r="J174" s="54">
        <f t="shared" si="70"/>
        <v>160000</v>
      </c>
    </row>
    <row r="175" spans="1:10" ht="12.75">
      <c r="A175" s="5"/>
      <c r="B175" s="124">
        <v>2012</v>
      </c>
      <c r="C175" s="54">
        <f aca="true" t="shared" si="71" ref="C175:C180">D175+E175+I175+J175</f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</row>
    <row r="176" spans="1:10" ht="12.75">
      <c r="A176" s="5"/>
      <c r="B176" s="124">
        <v>2013</v>
      </c>
      <c r="C176" s="54">
        <f t="shared" si="71"/>
        <v>20000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20000</v>
      </c>
    </row>
    <row r="177" spans="1:10" ht="12.75">
      <c r="A177" s="5"/>
      <c r="B177" s="124">
        <v>2014</v>
      </c>
      <c r="C177" s="54">
        <f t="shared" si="71"/>
        <v>20000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20000</v>
      </c>
    </row>
    <row r="178" spans="1:10" ht="12.75">
      <c r="A178" s="5"/>
      <c r="B178" s="124">
        <v>2015</v>
      </c>
      <c r="C178" s="54">
        <f t="shared" si="71"/>
        <v>20000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20000</v>
      </c>
    </row>
    <row r="179" spans="1:10" ht="12.75">
      <c r="A179" s="5"/>
      <c r="B179" s="124">
        <v>2016</v>
      </c>
      <c r="C179" s="54">
        <f t="shared" si="71"/>
        <v>20000</v>
      </c>
      <c r="D179" s="54">
        <v>0</v>
      </c>
      <c r="E179" s="54">
        <v>0</v>
      </c>
      <c r="F179" s="54">
        <v>0</v>
      </c>
      <c r="G179" s="54">
        <v>0</v>
      </c>
      <c r="H179" s="54">
        <v>0</v>
      </c>
      <c r="I179" s="54">
        <v>0</v>
      </c>
      <c r="J179" s="54">
        <v>20000</v>
      </c>
    </row>
    <row r="180" spans="1:10" ht="12.75">
      <c r="A180" s="5"/>
      <c r="B180" s="124" t="s">
        <v>325</v>
      </c>
      <c r="C180" s="54">
        <f t="shared" si="71"/>
        <v>80000</v>
      </c>
      <c r="D180" s="54">
        <v>0</v>
      </c>
      <c r="E180" s="54">
        <f>F180+G180+H180</f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v>80000</v>
      </c>
    </row>
    <row r="181" spans="1:10" ht="38.25">
      <c r="A181" s="5"/>
      <c r="B181" s="123" t="s">
        <v>299</v>
      </c>
      <c r="C181" s="54">
        <f>C182+C183+C184+C185+C186+C187</f>
        <v>35000</v>
      </c>
      <c r="D181" s="54">
        <f aca="true" t="shared" si="72" ref="D181:J181">D182+D183+D184+D185+D186+D187</f>
        <v>0</v>
      </c>
      <c r="E181" s="54">
        <f t="shared" si="72"/>
        <v>0</v>
      </c>
      <c r="F181" s="54">
        <f t="shared" si="72"/>
        <v>0</v>
      </c>
      <c r="G181" s="54">
        <f t="shared" si="72"/>
        <v>0</v>
      </c>
      <c r="H181" s="54">
        <f t="shared" si="72"/>
        <v>0</v>
      </c>
      <c r="I181" s="54">
        <f t="shared" si="72"/>
        <v>0</v>
      </c>
      <c r="J181" s="54">
        <f t="shared" si="72"/>
        <v>35000</v>
      </c>
    </row>
    <row r="182" spans="1:10" ht="12.75">
      <c r="A182" s="5"/>
      <c r="B182" s="124">
        <v>2012</v>
      </c>
      <c r="C182" s="54">
        <f aca="true" t="shared" si="73" ref="C182:C187">D182+E182+I182+J182</f>
        <v>0</v>
      </c>
      <c r="D182" s="54">
        <v>0</v>
      </c>
      <c r="E182" s="54">
        <f>G182</f>
        <v>0</v>
      </c>
      <c r="F182" s="54">
        <v>0</v>
      </c>
      <c r="G182" s="54">
        <v>0</v>
      </c>
      <c r="H182" s="54">
        <v>0</v>
      </c>
      <c r="I182" s="54">
        <v>0</v>
      </c>
      <c r="J182" s="54">
        <v>0</v>
      </c>
    </row>
    <row r="183" spans="1:10" ht="12.75">
      <c r="A183" s="5"/>
      <c r="B183" s="124">
        <v>2013</v>
      </c>
      <c r="C183" s="54">
        <f t="shared" si="73"/>
        <v>5000</v>
      </c>
      <c r="D183" s="54">
        <v>0</v>
      </c>
      <c r="E183" s="54">
        <f>G183</f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5000</v>
      </c>
    </row>
    <row r="184" spans="1:10" ht="12.75">
      <c r="A184" s="5"/>
      <c r="B184" s="124">
        <v>2014</v>
      </c>
      <c r="C184" s="54">
        <f t="shared" si="73"/>
        <v>5000</v>
      </c>
      <c r="D184" s="54">
        <v>0</v>
      </c>
      <c r="E184" s="54">
        <f>G184</f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5000</v>
      </c>
    </row>
    <row r="185" spans="1:10" ht="12.75">
      <c r="A185" s="5"/>
      <c r="B185" s="124">
        <v>2015</v>
      </c>
      <c r="C185" s="54">
        <f t="shared" si="73"/>
        <v>5000</v>
      </c>
      <c r="D185" s="54">
        <v>0</v>
      </c>
      <c r="E185" s="54">
        <f>G185</f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5000</v>
      </c>
    </row>
    <row r="186" spans="1:10" ht="12.75">
      <c r="A186" s="5"/>
      <c r="B186" s="124">
        <v>2016</v>
      </c>
      <c r="C186" s="54">
        <f t="shared" si="73"/>
        <v>5000</v>
      </c>
      <c r="D186" s="54">
        <v>0</v>
      </c>
      <c r="E186" s="54">
        <f>G186</f>
        <v>0</v>
      </c>
      <c r="F186" s="54">
        <v>0</v>
      </c>
      <c r="G186" s="54">
        <v>0</v>
      </c>
      <c r="H186" s="54">
        <v>0</v>
      </c>
      <c r="I186" s="54">
        <v>0</v>
      </c>
      <c r="J186" s="54">
        <v>5000</v>
      </c>
    </row>
    <row r="187" spans="1:10" ht="12.75">
      <c r="A187" s="5"/>
      <c r="B187" s="124" t="s">
        <v>325</v>
      </c>
      <c r="C187" s="54">
        <f t="shared" si="73"/>
        <v>15000</v>
      </c>
      <c r="D187" s="54">
        <v>0</v>
      </c>
      <c r="E187" s="54">
        <f>F187+G187+H187</f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15000</v>
      </c>
    </row>
    <row r="188" spans="1:10" ht="25.5">
      <c r="A188" s="5"/>
      <c r="B188" s="123" t="s">
        <v>300</v>
      </c>
      <c r="C188" s="54">
        <f>C189+C190+C191+C192+C193+C194</f>
        <v>313000</v>
      </c>
      <c r="D188" s="54">
        <f aca="true" t="shared" si="74" ref="D188:J188">D189+D190+D191+D192+D193+D194</f>
        <v>0</v>
      </c>
      <c r="E188" s="54">
        <f t="shared" si="74"/>
        <v>0</v>
      </c>
      <c r="F188" s="54">
        <f t="shared" si="74"/>
        <v>0</v>
      </c>
      <c r="G188" s="54">
        <f t="shared" si="74"/>
        <v>0</v>
      </c>
      <c r="H188" s="54">
        <f t="shared" si="74"/>
        <v>0</v>
      </c>
      <c r="I188" s="54">
        <f t="shared" si="74"/>
        <v>0</v>
      </c>
      <c r="J188" s="54">
        <f t="shared" si="74"/>
        <v>313000</v>
      </c>
    </row>
    <row r="189" spans="1:10" ht="12.75">
      <c r="A189" s="5"/>
      <c r="B189" s="124">
        <v>2012</v>
      </c>
      <c r="C189" s="54">
        <f aca="true" t="shared" si="75" ref="C189:C194">D189+E189+I189+J189</f>
        <v>100000</v>
      </c>
      <c r="D189" s="54">
        <v>0</v>
      </c>
      <c r="E189" s="54"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100000</v>
      </c>
    </row>
    <row r="190" spans="1:10" ht="12.75">
      <c r="A190" s="5"/>
      <c r="B190" s="124">
        <v>2013</v>
      </c>
      <c r="C190" s="54">
        <f t="shared" si="75"/>
        <v>100000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100000</v>
      </c>
    </row>
    <row r="191" spans="1:10" ht="12.75">
      <c r="A191" s="5"/>
      <c r="B191" s="124">
        <v>2014</v>
      </c>
      <c r="C191" s="54">
        <f t="shared" si="75"/>
        <v>113000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113000</v>
      </c>
    </row>
    <row r="192" spans="1:10" ht="12.75">
      <c r="A192" s="5"/>
      <c r="B192" s="124">
        <v>2015</v>
      </c>
      <c r="C192" s="54">
        <f t="shared" si="75"/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</row>
    <row r="193" spans="1:10" ht="12.75">
      <c r="A193" s="5"/>
      <c r="B193" s="124">
        <v>2016</v>
      </c>
      <c r="C193" s="54">
        <f t="shared" si="75"/>
        <v>0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</row>
    <row r="194" spans="1:10" ht="12.75">
      <c r="A194" s="5"/>
      <c r="B194" s="124" t="s">
        <v>325</v>
      </c>
      <c r="C194" s="54">
        <f t="shared" si="75"/>
        <v>0</v>
      </c>
      <c r="D194" s="54">
        <v>0</v>
      </c>
      <c r="E194" s="54">
        <f>F194+G194+H194</f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</row>
    <row r="195" spans="1:10" ht="12.75">
      <c r="A195" s="5"/>
      <c r="B195" s="123" t="s">
        <v>301</v>
      </c>
      <c r="C195" s="54">
        <f>C196+C197+C198+C199+C200+C201</f>
        <v>913500</v>
      </c>
      <c r="D195" s="54">
        <f aca="true" t="shared" si="76" ref="D195:J195">D196+D197+D198+D199+D200+D201</f>
        <v>0</v>
      </c>
      <c r="E195" s="54">
        <f t="shared" si="76"/>
        <v>0</v>
      </c>
      <c r="F195" s="54">
        <f t="shared" si="76"/>
        <v>0</v>
      </c>
      <c r="G195" s="54">
        <f t="shared" si="76"/>
        <v>0</v>
      </c>
      <c r="H195" s="54">
        <f t="shared" si="76"/>
        <v>0</v>
      </c>
      <c r="I195" s="54">
        <f t="shared" si="76"/>
        <v>0</v>
      </c>
      <c r="J195" s="54">
        <f t="shared" si="76"/>
        <v>913500</v>
      </c>
    </row>
    <row r="196" spans="1:10" ht="12.75">
      <c r="A196" s="5"/>
      <c r="B196" s="124">
        <v>2012</v>
      </c>
      <c r="C196" s="54">
        <f aca="true" t="shared" si="77" ref="C196:C201">D196+E196+I196+J196</f>
        <v>102700</v>
      </c>
      <c r="D196" s="54">
        <v>0</v>
      </c>
      <c r="E196" s="54">
        <f>G196</f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102700</v>
      </c>
    </row>
    <row r="197" spans="1:10" ht="12.75">
      <c r="A197" s="5"/>
      <c r="B197" s="124">
        <v>2013</v>
      </c>
      <c r="C197" s="54">
        <f t="shared" si="77"/>
        <v>102700</v>
      </c>
      <c r="D197" s="54">
        <v>0</v>
      </c>
      <c r="E197" s="54">
        <f>G197</f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102700</v>
      </c>
    </row>
    <row r="198" spans="1:10" ht="12.75">
      <c r="A198" s="5"/>
      <c r="B198" s="124">
        <v>2014</v>
      </c>
      <c r="C198" s="54">
        <f t="shared" si="77"/>
        <v>102700</v>
      </c>
      <c r="D198" s="54">
        <v>0</v>
      </c>
      <c r="E198" s="54">
        <f>G198</f>
        <v>0</v>
      </c>
      <c r="F198" s="54">
        <v>0</v>
      </c>
      <c r="G198" s="54">
        <v>0</v>
      </c>
      <c r="H198" s="54">
        <v>0</v>
      </c>
      <c r="I198" s="54">
        <v>0</v>
      </c>
      <c r="J198" s="54">
        <v>102700</v>
      </c>
    </row>
    <row r="199" spans="1:10" ht="12.75">
      <c r="A199" s="5"/>
      <c r="B199" s="124">
        <v>2015</v>
      </c>
      <c r="C199" s="54">
        <f t="shared" si="77"/>
        <v>102700</v>
      </c>
      <c r="D199" s="54">
        <v>0</v>
      </c>
      <c r="E199" s="54">
        <f>G199</f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102700</v>
      </c>
    </row>
    <row r="200" spans="1:10" ht="12.75">
      <c r="A200" s="5"/>
      <c r="B200" s="124">
        <v>2016</v>
      </c>
      <c r="C200" s="54">
        <f t="shared" si="77"/>
        <v>102700</v>
      </c>
      <c r="D200" s="54">
        <v>0</v>
      </c>
      <c r="E200" s="54">
        <f>G200</f>
        <v>0</v>
      </c>
      <c r="F200" s="54">
        <v>0</v>
      </c>
      <c r="G200" s="54">
        <v>0</v>
      </c>
      <c r="H200" s="54">
        <v>0</v>
      </c>
      <c r="I200" s="54">
        <v>0</v>
      </c>
      <c r="J200" s="54">
        <v>102700</v>
      </c>
    </row>
    <row r="201" spans="1:10" ht="12.75">
      <c r="A201" s="5"/>
      <c r="B201" s="124" t="s">
        <v>325</v>
      </c>
      <c r="C201" s="54">
        <f t="shared" si="77"/>
        <v>400000</v>
      </c>
      <c r="D201" s="54">
        <v>0</v>
      </c>
      <c r="E201" s="54">
        <f>F201+G201+H201</f>
        <v>0</v>
      </c>
      <c r="F201" s="54">
        <v>0</v>
      </c>
      <c r="G201" s="54">
        <v>0</v>
      </c>
      <c r="H201" s="54">
        <v>0</v>
      </c>
      <c r="I201" s="54">
        <v>0</v>
      </c>
      <c r="J201" s="54">
        <v>400000</v>
      </c>
    </row>
    <row r="202" spans="1:10" ht="25.5">
      <c r="A202" s="5"/>
      <c r="B202" s="123" t="s">
        <v>302</v>
      </c>
      <c r="C202" s="54">
        <f>C203+C204+C205+C206+C207+C208</f>
        <v>1500000</v>
      </c>
      <c r="D202" s="54">
        <f aca="true" t="shared" si="78" ref="D202:J202">D203+D204+D205+D206+D207+D208</f>
        <v>0</v>
      </c>
      <c r="E202" s="54">
        <f t="shared" si="78"/>
        <v>0</v>
      </c>
      <c r="F202" s="54">
        <f t="shared" si="78"/>
        <v>0</v>
      </c>
      <c r="G202" s="54">
        <f t="shared" si="78"/>
        <v>0</v>
      </c>
      <c r="H202" s="54">
        <f t="shared" si="78"/>
        <v>0</v>
      </c>
      <c r="I202" s="54">
        <f t="shared" si="78"/>
        <v>0</v>
      </c>
      <c r="J202" s="54">
        <f t="shared" si="78"/>
        <v>1500000</v>
      </c>
    </row>
    <row r="203" spans="1:10" ht="12.75">
      <c r="A203" s="5"/>
      <c r="B203" s="124">
        <v>2012</v>
      </c>
      <c r="C203" s="54">
        <f aca="true" t="shared" si="79" ref="C203:C208">D203+E203+I203+J203</f>
        <v>188000</v>
      </c>
      <c r="D203" s="54">
        <v>0</v>
      </c>
      <c r="E203" s="54">
        <v>0</v>
      </c>
      <c r="F203" s="54">
        <v>0</v>
      </c>
      <c r="G203" s="54">
        <v>0</v>
      </c>
      <c r="H203" s="54">
        <v>0</v>
      </c>
      <c r="I203" s="54">
        <v>0</v>
      </c>
      <c r="J203" s="54">
        <v>188000</v>
      </c>
    </row>
    <row r="204" spans="1:10" ht="12.75">
      <c r="A204" s="5"/>
      <c r="B204" s="124">
        <v>2013</v>
      </c>
      <c r="C204" s="54">
        <f t="shared" si="79"/>
        <v>188000</v>
      </c>
      <c r="D204" s="54">
        <v>0</v>
      </c>
      <c r="E204" s="54">
        <v>0</v>
      </c>
      <c r="F204" s="54">
        <v>0</v>
      </c>
      <c r="G204" s="54">
        <v>0</v>
      </c>
      <c r="H204" s="54">
        <v>0</v>
      </c>
      <c r="I204" s="54">
        <v>0</v>
      </c>
      <c r="J204" s="54">
        <v>188000</v>
      </c>
    </row>
    <row r="205" spans="1:10" ht="12.75">
      <c r="A205" s="5"/>
      <c r="B205" s="124">
        <v>2014</v>
      </c>
      <c r="C205" s="54">
        <f t="shared" si="79"/>
        <v>188000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188000</v>
      </c>
    </row>
    <row r="206" spans="1:10" ht="12.75">
      <c r="A206" s="5"/>
      <c r="B206" s="124">
        <v>2015</v>
      </c>
      <c r="C206" s="54">
        <f t="shared" si="79"/>
        <v>188000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188000</v>
      </c>
    </row>
    <row r="207" spans="1:10" ht="12.75">
      <c r="A207" s="5"/>
      <c r="B207" s="124">
        <v>2016</v>
      </c>
      <c r="C207" s="54">
        <f t="shared" si="79"/>
        <v>188000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0</v>
      </c>
      <c r="J207" s="54">
        <v>188000</v>
      </c>
    </row>
    <row r="208" spans="1:10" ht="12.75">
      <c r="A208" s="5"/>
      <c r="B208" s="124" t="s">
        <v>325</v>
      </c>
      <c r="C208" s="54">
        <f t="shared" si="79"/>
        <v>560000</v>
      </c>
      <c r="D208" s="54">
        <v>0</v>
      </c>
      <c r="E208" s="54">
        <f>F208+G208+H208</f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560000</v>
      </c>
    </row>
    <row r="209" spans="1:11" ht="29.25" customHeight="1">
      <c r="A209" s="5"/>
      <c r="B209" s="123" t="s">
        <v>303</v>
      </c>
      <c r="C209" s="54">
        <f aca="true" t="shared" si="80" ref="C209:J209">C210+C211+C212+C213+C214+C215</f>
        <v>45000</v>
      </c>
      <c r="D209" s="54">
        <f t="shared" si="80"/>
        <v>0</v>
      </c>
      <c r="E209" s="54">
        <f t="shared" si="80"/>
        <v>0</v>
      </c>
      <c r="F209" s="54">
        <f t="shared" si="80"/>
        <v>0</v>
      </c>
      <c r="G209" s="54">
        <f t="shared" si="80"/>
        <v>0</v>
      </c>
      <c r="H209" s="54">
        <f t="shared" si="80"/>
        <v>0</v>
      </c>
      <c r="I209" s="54">
        <f t="shared" si="80"/>
        <v>0</v>
      </c>
      <c r="J209" s="54">
        <f t="shared" si="80"/>
        <v>45000</v>
      </c>
      <c r="K209" s="54">
        <f>SUM(K210:K214)</f>
        <v>45000</v>
      </c>
    </row>
    <row r="210" spans="1:11" ht="12.75" customHeight="1">
      <c r="A210" s="5"/>
      <c r="B210" s="124">
        <v>2012</v>
      </c>
      <c r="C210" s="54">
        <f>D210+E210+I210+J210</f>
        <v>25000</v>
      </c>
      <c r="D210" s="54">
        <v>0</v>
      </c>
      <c r="E210" s="54">
        <f>F210+G210+H210</f>
        <v>0</v>
      </c>
      <c r="F210" s="54">
        <v>0</v>
      </c>
      <c r="G210" s="54">
        <v>0</v>
      </c>
      <c r="H210" s="54">
        <v>0</v>
      </c>
      <c r="I210" s="54">
        <v>0</v>
      </c>
      <c r="J210" s="54">
        <v>25000</v>
      </c>
      <c r="K210" s="54">
        <v>25000</v>
      </c>
    </row>
    <row r="211" spans="1:11" ht="12.75" customHeight="1">
      <c r="A211" s="5"/>
      <c r="B211" s="124">
        <v>2013</v>
      </c>
      <c r="C211" s="54">
        <f>D211+E211+I211+J211</f>
        <v>20000</v>
      </c>
      <c r="D211" s="54">
        <v>0</v>
      </c>
      <c r="E211" s="54">
        <f>F211+G211+H211</f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20000</v>
      </c>
      <c r="K211" s="54">
        <v>20000</v>
      </c>
    </row>
    <row r="212" spans="1:11" ht="12.75" customHeight="1">
      <c r="A212" s="5"/>
      <c r="B212" s="124">
        <v>2014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</row>
    <row r="213" spans="1:11" ht="12.75" customHeight="1">
      <c r="A213" s="5"/>
      <c r="B213" s="124">
        <v>2015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</row>
    <row r="214" spans="1:11" ht="12.75" customHeight="1">
      <c r="A214" s="5"/>
      <c r="B214" s="124">
        <v>2016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</row>
    <row r="215" spans="1:11" ht="12.75" customHeight="1">
      <c r="A215" s="5"/>
      <c r="B215" s="124" t="s">
        <v>325</v>
      </c>
      <c r="C215" s="54">
        <v>0</v>
      </c>
      <c r="D215" s="54">
        <v>0</v>
      </c>
      <c r="E215" s="54">
        <v>0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</row>
    <row r="216" spans="1:10" ht="25.5">
      <c r="A216" s="5"/>
      <c r="B216" s="123" t="s">
        <v>304</v>
      </c>
      <c r="C216" s="54">
        <f aca="true" t="shared" si="81" ref="C216:J216">C217+C224</f>
        <v>14177.6</v>
      </c>
      <c r="D216" s="54">
        <f t="shared" si="81"/>
        <v>14177.6</v>
      </c>
      <c r="E216" s="54">
        <f t="shared" si="81"/>
        <v>0</v>
      </c>
      <c r="F216" s="54">
        <f t="shared" si="81"/>
        <v>0</v>
      </c>
      <c r="G216" s="54">
        <f t="shared" si="81"/>
        <v>0</v>
      </c>
      <c r="H216" s="54">
        <f t="shared" si="81"/>
        <v>0</v>
      </c>
      <c r="I216" s="54">
        <f t="shared" si="81"/>
        <v>0</v>
      </c>
      <c r="J216" s="54">
        <f t="shared" si="81"/>
        <v>0</v>
      </c>
    </row>
    <row r="217" spans="1:10" ht="25.5">
      <c r="A217" s="5"/>
      <c r="B217" s="123" t="s">
        <v>305</v>
      </c>
      <c r="C217" s="54">
        <f>C218+C219+C220+C221+C222+C223</f>
        <v>14177.6</v>
      </c>
      <c r="D217" s="54">
        <f>D218+D219+D220+D221+D222+D223</f>
        <v>14177.6</v>
      </c>
      <c r="E217" s="54">
        <f aca="true" t="shared" si="82" ref="E217:J217">E218+E219+E220+E221+E222+E223</f>
        <v>0</v>
      </c>
      <c r="F217" s="54">
        <f t="shared" si="82"/>
        <v>0</v>
      </c>
      <c r="G217" s="54">
        <f t="shared" si="82"/>
        <v>0</v>
      </c>
      <c r="H217" s="54">
        <f t="shared" si="82"/>
        <v>0</v>
      </c>
      <c r="I217" s="54">
        <f t="shared" si="82"/>
        <v>0</v>
      </c>
      <c r="J217" s="54">
        <f t="shared" si="82"/>
        <v>0</v>
      </c>
    </row>
    <row r="218" spans="1:10" ht="12.75">
      <c r="A218" s="5"/>
      <c r="B218" s="124">
        <v>2012</v>
      </c>
      <c r="C218" s="54">
        <f aca="true" t="shared" si="83" ref="C218:C223">D218+E218+I218+J218</f>
        <v>1322</v>
      </c>
      <c r="D218" s="54">
        <v>1322</v>
      </c>
      <c r="E218" s="54">
        <f aca="true" t="shared" si="84" ref="E218:E223">F218+G218+H218</f>
        <v>0</v>
      </c>
      <c r="F218" s="54">
        <v>0</v>
      </c>
      <c r="G218" s="54">
        <v>0</v>
      </c>
      <c r="H218" s="54">
        <v>0</v>
      </c>
      <c r="I218" s="54">
        <v>0</v>
      </c>
      <c r="J218" s="54">
        <v>0</v>
      </c>
    </row>
    <row r="219" spans="1:10" ht="12.75">
      <c r="A219" s="5"/>
      <c r="B219" s="124">
        <v>2013</v>
      </c>
      <c r="C219" s="54">
        <f t="shared" si="83"/>
        <v>1476.8</v>
      </c>
      <c r="D219" s="54">
        <v>1476.8</v>
      </c>
      <c r="E219" s="54">
        <f t="shared" si="84"/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</row>
    <row r="220" spans="1:10" ht="12.75">
      <c r="A220" s="5"/>
      <c r="B220" s="124">
        <v>2014</v>
      </c>
      <c r="C220" s="54">
        <f t="shared" si="83"/>
        <v>1625.7</v>
      </c>
      <c r="D220" s="54">
        <v>1625.7</v>
      </c>
      <c r="E220" s="54">
        <f t="shared" si="84"/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</row>
    <row r="221" spans="1:10" ht="12.75">
      <c r="A221" s="5"/>
      <c r="B221" s="124">
        <v>2015</v>
      </c>
      <c r="C221" s="54">
        <f t="shared" si="83"/>
        <v>1786.5</v>
      </c>
      <c r="D221" s="54">
        <v>1786.5</v>
      </c>
      <c r="E221" s="54">
        <f t="shared" si="84"/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</row>
    <row r="222" spans="1:10" ht="12.75">
      <c r="A222" s="5"/>
      <c r="B222" s="124">
        <v>2016</v>
      </c>
      <c r="C222" s="54">
        <f t="shared" si="83"/>
        <v>1966.6</v>
      </c>
      <c r="D222" s="54">
        <v>1966.6</v>
      </c>
      <c r="E222" s="54">
        <f t="shared" si="84"/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</row>
    <row r="223" spans="1:10" ht="12.75">
      <c r="A223" s="5"/>
      <c r="B223" s="124" t="s">
        <v>325</v>
      </c>
      <c r="C223" s="54">
        <f t="shared" si="83"/>
        <v>6000</v>
      </c>
      <c r="D223" s="54">
        <v>6000</v>
      </c>
      <c r="E223" s="54">
        <f t="shared" si="84"/>
        <v>0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</row>
    <row r="224" spans="1:11" ht="38.25">
      <c r="A224" s="5"/>
      <c r="B224" s="123" t="s">
        <v>306</v>
      </c>
      <c r="C224" s="54">
        <f>C225+C226+C227+C228+C229+C230</f>
        <v>0</v>
      </c>
      <c r="D224" s="54">
        <f>D225+D226+D227+D228+D229+D230</f>
        <v>0</v>
      </c>
      <c r="E224" s="54">
        <f>SUM(E225:E230)</f>
        <v>0</v>
      </c>
      <c r="F224" s="54"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</row>
    <row r="225" spans="1:11" ht="12.75">
      <c r="A225" s="5"/>
      <c r="B225" s="124">
        <v>2012</v>
      </c>
      <c r="C225" s="54">
        <f aca="true" t="shared" si="85" ref="C225:C230">D225+E225+I225+K225</f>
        <v>0</v>
      </c>
      <c r="D225" s="54">
        <v>0</v>
      </c>
      <c r="E225" s="54">
        <f>F225+G225+H225</f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</row>
    <row r="226" spans="1:11" ht="12.75">
      <c r="A226" s="5"/>
      <c r="B226" s="124">
        <v>2013</v>
      </c>
      <c r="C226" s="54">
        <f t="shared" si="85"/>
        <v>0</v>
      </c>
      <c r="D226" s="54">
        <v>0</v>
      </c>
      <c r="E226" s="54">
        <f>F226+G226+H226</f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</row>
    <row r="227" spans="1:11" ht="12.75">
      <c r="A227" s="5"/>
      <c r="B227" s="124">
        <v>2014</v>
      </c>
      <c r="C227" s="54">
        <f t="shared" si="85"/>
        <v>0</v>
      </c>
      <c r="D227" s="54">
        <v>0</v>
      </c>
      <c r="E227" s="54">
        <f>F227+G227+H227</f>
        <v>0</v>
      </c>
      <c r="F227" s="54">
        <v>0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</row>
    <row r="228" spans="1:11" ht="12.75">
      <c r="A228" s="5"/>
      <c r="B228" s="124">
        <v>2015</v>
      </c>
      <c r="C228" s="54">
        <f t="shared" si="85"/>
        <v>0</v>
      </c>
      <c r="D228" s="54">
        <v>0</v>
      </c>
      <c r="E228" s="54">
        <f>F228+G228+H228</f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</row>
    <row r="229" spans="1:11" ht="12.75">
      <c r="A229" s="5"/>
      <c r="B229" s="124">
        <v>2016</v>
      </c>
      <c r="C229" s="54">
        <f t="shared" si="85"/>
        <v>0</v>
      </c>
      <c r="D229" s="54">
        <v>0</v>
      </c>
      <c r="E229" s="54">
        <f>F229+G229+H229</f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</row>
    <row r="230" spans="1:11" ht="12.75">
      <c r="A230" s="5"/>
      <c r="B230" s="124" t="s">
        <v>325</v>
      </c>
      <c r="C230" s="54">
        <f t="shared" si="85"/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</row>
    <row r="231" spans="1:12" ht="38.25">
      <c r="A231" s="5">
        <v>3</v>
      </c>
      <c r="B231" s="122" t="s">
        <v>307</v>
      </c>
      <c r="C231" s="97">
        <f>C233+C234+C235+C236+C237+C238</f>
        <v>40574.6</v>
      </c>
      <c r="D231" s="97">
        <f aca="true" t="shared" si="86" ref="D231:J231">D233+D234+D235+D236+D237+D238</f>
        <v>0</v>
      </c>
      <c r="E231" s="97">
        <f t="shared" si="86"/>
        <v>37874.6</v>
      </c>
      <c r="F231" s="97">
        <f t="shared" si="86"/>
        <v>0</v>
      </c>
      <c r="G231" s="97">
        <f t="shared" si="86"/>
        <v>0</v>
      </c>
      <c r="H231" s="97">
        <f t="shared" si="86"/>
        <v>37874.6</v>
      </c>
      <c r="I231" s="97">
        <f t="shared" si="86"/>
        <v>0</v>
      </c>
      <c r="J231" s="97">
        <f t="shared" si="86"/>
        <v>2700</v>
      </c>
      <c r="K231" s="97" t="e">
        <f>K239+#REF!</f>
        <v>#REF!</v>
      </c>
      <c r="L231" s="97" t="e">
        <f>L239+#REF!</f>
        <v>#REF!</v>
      </c>
    </row>
    <row r="232" spans="1:10" ht="12.75">
      <c r="A232" s="5"/>
      <c r="B232" s="121" t="s">
        <v>323</v>
      </c>
      <c r="C232" s="96"/>
      <c r="D232" s="96"/>
      <c r="E232" s="96"/>
      <c r="F232" s="96"/>
      <c r="G232" s="96"/>
      <c r="H232" s="96"/>
      <c r="I232" s="96"/>
      <c r="J232" s="96"/>
    </row>
    <row r="233" spans="1:10" ht="12.75">
      <c r="A233" s="5"/>
      <c r="B233" s="121" t="s">
        <v>270</v>
      </c>
      <c r="C233" s="96">
        <f aca="true" t="shared" si="87" ref="C233:C238">D233+E233+I233+J233</f>
        <v>5800</v>
      </c>
      <c r="D233" s="96">
        <f>D248+D271+D278</f>
        <v>0</v>
      </c>
      <c r="E233" s="96">
        <f aca="true" t="shared" si="88" ref="E233:J237">E248+E271+E278+E241+E256+E263</f>
        <v>5500</v>
      </c>
      <c r="F233" s="96">
        <f t="shared" si="88"/>
        <v>0</v>
      </c>
      <c r="G233" s="96">
        <f t="shared" si="88"/>
        <v>0</v>
      </c>
      <c r="H233" s="96">
        <f t="shared" si="88"/>
        <v>5500</v>
      </c>
      <c r="I233" s="96">
        <f t="shared" si="88"/>
        <v>0</v>
      </c>
      <c r="J233" s="96">
        <f t="shared" si="88"/>
        <v>300</v>
      </c>
    </row>
    <row r="234" spans="1:10" ht="12.75">
      <c r="A234" s="5"/>
      <c r="B234" s="121" t="s">
        <v>271</v>
      </c>
      <c r="C234" s="96">
        <f t="shared" si="87"/>
        <v>4700</v>
      </c>
      <c r="D234" s="96">
        <f>D249+D272+D279</f>
        <v>0</v>
      </c>
      <c r="E234" s="96">
        <f t="shared" si="88"/>
        <v>4400</v>
      </c>
      <c r="F234" s="96">
        <f t="shared" si="88"/>
        <v>0</v>
      </c>
      <c r="G234" s="96">
        <f t="shared" si="88"/>
        <v>0</v>
      </c>
      <c r="H234" s="96">
        <f t="shared" si="88"/>
        <v>4400</v>
      </c>
      <c r="I234" s="96">
        <f t="shared" si="88"/>
        <v>0</v>
      </c>
      <c r="J234" s="96">
        <f t="shared" si="88"/>
        <v>300</v>
      </c>
    </row>
    <row r="235" spans="1:10" ht="12.75">
      <c r="A235" s="5"/>
      <c r="B235" s="121" t="s">
        <v>272</v>
      </c>
      <c r="C235" s="96">
        <f t="shared" si="87"/>
        <v>11047</v>
      </c>
      <c r="D235" s="96">
        <f>D250+D273+D280</f>
        <v>0</v>
      </c>
      <c r="E235" s="96">
        <f t="shared" si="88"/>
        <v>10747</v>
      </c>
      <c r="F235" s="96">
        <f t="shared" si="88"/>
        <v>0</v>
      </c>
      <c r="G235" s="96">
        <f t="shared" si="88"/>
        <v>0</v>
      </c>
      <c r="H235" s="96">
        <f t="shared" si="88"/>
        <v>10747</v>
      </c>
      <c r="I235" s="96">
        <f t="shared" si="88"/>
        <v>0</v>
      </c>
      <c r="J235" s="96">
        <f t="shared" si="88"/>
        <v>300</v>
      </c>
    </row>
    <row r="236" spans="1:10" ht="12.75">
      <c r="A236" s="5"/>
      <c r="B236" s="121" t="s">
        <v>273</v>
      </c>
      <c r="C236" s="96">
        <f t="shared" si="87"/>
        <v>8073.3</v>
      </c>
      <c r="D236" s="96">
        <f>D251+D274+D281</f>
        <v>0</v>
      </c>
      <c r="E236" s="96">
        <f t="shared" si="88"/>
        <v>7773.3</v>
      </c>
      <c r="F236" s="96">
        <f t="shared" si="88"/>
        <v>0</v>
      </c>
      <c r="G236" s="96">
        <f t="shared" si="88"/>
        <v>0</v>
      </c>
      <c r="H236" s="96">
        <f t="shared" si="88"/>
        <v>7773.3</v>
      </c>
      <c r="I236" s="96">
        <f t="shared" si="88"/>
        <v>0</v>
      </c>
      <c r="J236" s="96">
        <f t="shared" si="88"/>
        <v>300</v>
      </c>
    </row>
    <row r="237" spans="1:10" ht="12.75">
      <c r="A237" s="5"/>
      <c r="B237" s="121" t="s">
        <v>274</v>
      </c>
      <c r="C237" s="96">
        <f t="shared" si="87"/>
        <v>9754.3</v>
      </c>
      <c r="D237" s="96">
        <f>D252+D275+D282</f>
        <v>0</v>
      </c>
      <c r="E237" s="96">
        <f t="shared" si="88"/>
        <v>9454.3</v>
      </c>
      <c r="F237" s="96">
        <f t="shared" si="88"/>
        <v>0</v>
      </c>
      <c r="G237" s="96">
        <f t="shared" si="88"/>
        <v>0</v>
      </c>
      <c r="H237" s="96">
        <f t="shared" si="88"/>
        <v>9454.3</v>
      </c>
      <c r="I237" s="96">
        <f t="shared" si="88"/>
        <v>0</v>
      </c>
      <c r="J237" s="96">
        <f t="shared" si="88"/>
        <v>300</v>
      </c>
    </row>
    <row r="238" spans="1:10" ht="12.75">
      <c r="A238" s="5"/>
      <c r="B238" s="121" t="s">
        <v>324</v>
      </c>
      <c r="C238" s="96">
        <f t="shared" si="87"/>
        <v>1200</v>
      </c>
      <c r="D238" s="96">
        <f aca="true" t="shared" si="89" ref="D238:I238">D246+D253+D261+D268+D276+D283</f>
        <v>0</v>
      </c>
      <c r="E238" s="96">
        <f t="shared" si="89"/>
        <v>0</v>
      </c>
      <c r="F238" s="96">
        <f t="shared" si="89"/>
        <v>0</v>
      </c>
      <c r="G238" s="96">
        <f t="shared" si="89"/>
        <v>0</v>
      </c>
      <c r="H238" s="96">
        <f t="shared" si="89"/>
        <v>0</v>
      </c>
      <c r="I238" s="96">
        <f t="shared" si="89"/>
        <v>0</v>
      </c>
      <c r="J238" s="96">
        <f>J246+J253+J261+J268+J276+J283</f>
        <v>1200</v>
      </c>
    </row>
    <row r="239" spans="1:10" ht="39.75" customHeight="1">
      <c r="A239" s="5"/>
      <c r="B239" s="123" t="s">
        <v>342</v>
      </c>
      <c r="C239" s="54">
        <f>C240+C247</f>
        <v>30374.6</v>
      </c>
      <c r="D239" s="54">
        <f aca="true" t="shared" si="90" ref="D239:J239">D240+D247</f>
        <v>0</v>
      </c>
      <c r="E239" s="54">
        <f t="shared" si="90"/>
        <v>30374.6</v>
      </c>
      <c r="F239" s="54">
        <f t="shared" si="90"/>
        <v>0</v>
      </c>
      <c r="G239" s="54">
        <f t="shared" si="90"/>
        <v>0</v>
      </c>
      <c r="H239" s="54">
        <f t="shared" si="90"/>
        <v>30374.6</v>
      </c>
      <c r="I239" s="54">
        <f t="shared" si="90"/>
        <v>0</v>
      </c>
      <c r="J239" s="54">
        <f t="shared" si="90"/>
        <v>0</v>
      </c>
    </row>
    <row r="240" spans="1:12" ht="51">
      <c r="A240" s="5"/>
      <c r="B240" s="123" t="s">
        <v>308</v>
      </c>
      <c r="C240" s="54">
        <f aca="true" t="shared" si="91" ref="C240:C275">D240+E240+I240+J240+K240+L240</f>
        <v>2400</v>
      </c>
      <c r="D240" s="54">
        <f aca="true" t="shared" si="92" ref="D240:J240">D241+D242+D243+D244+D245+D246</f>
        <v>0</v>
      </c>
      <c r="E240" s="54">
        <f t="shared" si="92"/>
        <v>2400</v>
      </c>
      <c r="F240" s="54">
        <f t="shared" si="92"/>
        <v>0</v>
      </c>
      <c r="G240" s="54">
        <f t="shared" si="92"/>
        <v>0</v>
      </c>
      <c r="H240" s="54">
        <f t="shared" si="92"/>
        <v>2400</v>
      </c>
      <c r="I240" s="54">
        <f t="shared" si="92"/>
        <v>0</v>
      </c>
      <c r="J240" s="54">
        <f t="shared" si="92"/>
        <v>0</v>
      </c>
      <c r="K240" s="98">
        <v>0</v>
      </c>
      <c r="L240" s="99">
        <v>0</v>
      </c>
    </row>
    <row r="241" spans="1:12" ht="12.75" customHeight="1">
      <c r="A241" s="5"/>
      <c r="B241" s="123">
        <v>2012</v>
      </c>
      <c r="C241" s="54">
        <f t="shared" si="91"/>
        <v>1200</v>
      </c>
      <c r="D241" s="54">
        <v>0</v>
      </c>
      <c r="E241" s="54">
        <f aca="true" t="shared" si="93" ref="E241:E246">F241+G241+H241</f>
        <v>1200</v>
      </c>
      <c r="F241" s="54">
        <v>0</v>
      </c>
      <c r="G241" s="54">
        <v>0</v>
      </c>
      <c r="H241" s="54">
        <v>1200</v>
      </c>
      <c r="I241" s="54">
        <v>0</v>
      </c>
      <c r="J241" s="54">
        <v>0</v>
      </c>
      <c r="K241" s="98">
        <v>0</v>
      </c>
      <c r="L241" s="100">
        <v>0</v>
      </c>
    </row>
    <row r="242" spans="1:12" ht="12.75" customHeight="1">
      <c r="A242" s="5"/>
      <c r="B242" s="123">
        <v>2013</v>
      </c>
      <c r="C242" s="54">
        <f t="shared" si="91"/>
        <v>1200</v>
      </c>
      <c r="D242" s="54">
        <v>0</v>
      </c>
      <c r="E242" s="54">
        <f t="shared" si="93"/>
        <v>1200</v>
      </c>
      <c r="F242" s="54">
        <v>0</v>
      </c>
      <c r="G242" s="54">
        <v>0</v>
      </c>
      <c r="H242" s="54">
        <v>1200</v>
      </c>
      <c r="I242" s="54">
        <v>0</v>
      </c>
      <c r="J242" s="54">
        <v>0</v>
      </c>
      <c r="K242" s="98">
        <v>0</v>
      </c>
      <c r="L242" s="100">
        <v>0</v>
      </c>
    </row>
    <row r="243" spans="1:12" ht="12.75" customHeight="1">
      <c r="A243" s="5"/>
      <c r="B243" s="123">
        <v>2014</v>
      </c>
      <c r="C243" s="54">
        <f t="shared" si="91"/>
        <v>0</v>
      </c>
      <c r="D243" s="54">
        <v>0</v>
      </c>
      <c r="E243" s="54">
        <f t="shared" si="93"/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  <c r="K243" s="98">
        <v>0</v>
      </c>
      <c r="L243" s="100">
        <v>0</v>
      </c>
    </row>
    <row r="244" spans="1:12" ht="12.75" customHeight="1">
      <c r="A244" s="5"/>
      <c r="B244" s="123">
        <v>2015</v>
      </c>
      <c r="C244" s="54">
        <f t="shared" si="91"/>
        <v>0</v>
      </c>
      <c r="D244" s="54">
        <v>0</v>
      </c>
      <c r="E244" s="54">
        <f t="shared" si="93"/>
        <v>0</v>
      </c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98">
        <v>0</v>
      </c>
      <c r="L244" s="100">
        <v>0</v>
      </c>
    </row>
    <row r="245" spans="1:12" ht="12.75" customHeight="1">
      <c r="A245" s="5"/>
      <c r="B245" s="123">
        <v>2016</v>
      </c>
      <c r="C245" s="54">
        <f t="shared" si="91"/>
        <v>0</v>
      </c>
      <c r="D245" s="54">
        <v>0</v>
      </c>
      <c r="E245" s="54">
        <f t="shared" si="93"/>
        <v>0</v>
      </c>
      <c r="F245" s="54">
        <v>0</v>
      </c>
      <c r="G245" s="54">
        <v>0</v>
      </c>
      <c r="H245" s="54">
        <v>0</v>
      </c>
      <c r="I245" s="54">
        <v>0</v>
      </c>
      <c r="J245" s="54">
        <v>0</v>
      </c>
      <c r="K245" s="98">
        <v>0</v>
      </c>
      <c r="L245" s="100">
        <v>0</v>
      </c>
    </row>
    <row r="246" spans="1:12" ht="12.75" customHeight="1">
      <c r="A246" s="5"/>
      <c r="B246" s="123" t="s">
        <v>325</v>
      </c>
      <c r="C246" s="54">
        <f t="shared" si="91"/>
        <v>0</v>
      </c>
      <c r="D246" s="54">
        <v>0</v>
      </c>
      <c r="E246" s="54">
        <f t="shared" si="93"/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101"/>
      <c r="L246" s="102"/>
    </row>
    <row r="247" spans="1:10" ht="43.5" customHeight="1">
      <c r="A247" s="5"/>
      <c r="B247" s="123" t="s">
        <v>330</v>
      </c>
      <c r="C247" s="54">
        <f t="shared" si="91"/>
        <v>27974.6</v>
      </c>
      <c r="D247" s="54">
        <f aca="true" t="shared" si="94" ref="D247:J247">D248+D249+D250+D251+D252+D253</f>
        <v>0</v>
      </c>
      <c r="E247" s="54">
        <f t="shared" si="94"/>
        <v>27974.6</v>
      </c>
      <c r="F247" s="54">
        <f t="shared" si="94"/>
        <v>0</v>
      </c>
      <c r="G247" s="54">
        <f t="shared" si="94"/>
        <v>0</v>
      </c>
      <c r="H247" s="54">
        <f t="shared" si="94"/>
        <v>27974.6</v>
      </c>
      <c r="I247" s="54">
        <f t="shared" si="94"/>
        <v>0</v>
      </c>
      <c r="J247" s="54">
        <f t="shared" si="94"/>
        <v>0</v>
      </c>
    </row>
    <row r="248" spans="1:10" ht="12.75" customHeight="1">
      <c r="A248" s="5"/>
      <c r="B248" s="123">
        <v>2012</v>
      </c>
      <c r="C248" s="54">
        <f t="shared" si="91"/>
        <v>0</v>
      </c>
      <c r="D248" s="54">
        <v>0</v>
      </c>
      <c r="E248" s="54">
        <f aca="true" t="shared" si="95" ref="E248:E253">F248+G248+H248</f>
        <v>0</v>
      </c>
      <c r="F248" s="54">
        <v>0</v>
      </c>
      <c r="G248" s="54">
        <v>0</v>
      </c>
      <c r="H248" s="54">
        <v>0</v>
      </c>
      <c r="I248" s="54">
        <v>0</v>
      </c>
      <c r="J248" s="54">
        <v>0</v>
      </c>
    </row>
    <row r="249" spans="1:10" ht="12.75" customHeight="1">
      <c r="A249" s="5"/>
      <c r="B249" s="124">
        <v>2013</v>
      </c>
      <c r="C249" s="54">
        <f t="shared" si="91"/>
        <v>0</v>
      </c>
      <c r="D249" s="54">
        <v>0</v>
      </c>
      <c r="E249" s="54">
        <f t="shared" si="95"/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</row>
    <row r="250" spans="1:10" ht="12.75" customHeight="1">
      <c r="A250" s="5"/>
      <c r="B250" s="124">
        <v>2014</v>
      </c>
      <c r="C250" s="54">
        <f t="shared" si="91"/>
        <v>10747</v>
      </c>
      <c r="D250" s="54">
        <v>0</v>
      </c>
      <c r="E250" s="54">
        <f t="shared" si="95"/>
        <v>10747</v>
      </c>
      <c r="F250" s="54">
        <v>0</v>
      </c>
      <c r="G250" s="54">
        <v>0</v>
      </c>
      <c r="H250" s="54">
        <v>10747</v>
      </c>
      <c r="I250" s="54">
        <v>0</v>
      </c>
      <c r="J250" s="54">
        <v>0</v>
      </c>
    </row>
    <row r="251" spans="1:10" ht="12.75" customHeight="1">
      <c r="A251" s="5"/>
      <c r="B251" s="124">
        <v>2015</v>
      </c>
      <c r="C251" s="54">
        <f t="shared" si="91"/>
        <v>7773.3</v>
      </c>
      <c r="D251" s="54">
        <v>0</v>
      </c>
      <c r="E251" s="54">
        <f t="shared" si="95"/>
        <v>7773.3</v>
      </c>
      <c r="F251" s="54">
        <v>0</v>
      </c>
      <c r="G251" s="54">
        <v>0</v>
      </c>
      <c r="H251" s="54">
        <v>7773.3</v>
      </c>
      <c r="I251" s="54">
        <v>0</v>
      </c>
      <c r="J251" s="54">
        <v>0</v>
      </c>
    </row>
    <row r="252" spans="1:10" ht="12.75" customHeight="1">
      <c r="A252" s="5"/>
      <c r="B252" s="124">
        <v>2016</v>
      </c>
      <c r="C252" s="54">
        <f t="shared" si="91"/>
        <v>9454.3</v>
      </c>
      <c r="D252" s="54">
        <v>0</v>
      </c>
      <c r="E252" s="54">
        <f t="shared" si="95"/>
        <v>9454.3</v>
      </c>
      <c r="F252" s="54">
        <v>0</v>
      </c>
      <c r="G252" s="54">
        <v>0</v>
      </c>
      <c r="H252" s="54">
        <v>9454.3</v>
      </c>
      <c r="I252" s="54">
        <v>0</v>
      </c>
      <c r="J252" s="54">
        <v>0</v>
      </c>
    </row>
    <row r="253" spans="1:10" ht="12.75" customHeight="1">
      <c r="A253" s="5"/>
      <c r="B253" s="124" t="s">
        <v>325</v>
      </c>
      <c r="C253" s="54">
        <f t="shared" si="91"/>
        <v>0</v>
      </c>
      <c r="D253" s="54">
        <v>0</v>
      </c>
      <c r="E253" s="54">
        <f t="shared" si="95"/>
        <v>0</v>
      </c>
      <c r="F253" s="54">
        <v>0</v>
      </c>
      <c r="G253" s="54">
        <v>0</v>
      </c>
      <c r="H253" s="54">
        <v>0</v>
      </c>
      <c r="I253" s="54">
        <v>0</v>
      </c>
      <c r="J253" s="54">
        <v>0</v>
      </c>
    </row>
    <row r="254" spans="1:12" ht="36" customHeight="1">
      <c r="A254" s="103"/>
      <c r="B254" s="125" t="s">
        <v>351</v>
      </c>
      <c r="C254" s="54">
        <f>D254+E254+I254+J254+K254+L254</f>
        <v>5300</v>
      </c>
      <c r="D254" s="54">
        <v>0</v>
      </c>
      <c r="E254" s="54">
        <f>E255+E262</f>
        <v>5300</v>
      </c>
      <c r="F254" s="54">
        <v>0</v>
      </c>
      <c r="G254" s="54">
        <v>0</v>
      </c>
      <c r="H254" s="54">
        <f>H255+H262</f>
        <v>5300</v>
      </c>
      <c r="I254" s="54">
        <v>0</v>
      </c>
      <c r="J254" s="54">
        <v>0</v>
      </c>
      <c r="K254" s="98">
        <v>0</v>
      </c>
      <c r="L254" s="99">
        <v>0</v>
      </c>
    </row>
    <row r="255" spans="1:12" ht="87" customHeight="1">
      <c r="A255" s="103"/>
      <c r="B255" s="125" t="s">
        <v>309</v>
      </c>
      <c r="C255" s="54">
        <f t="shared" si="91"/>
        <v>4300</v>
      </c>
      <c r="D255" s="54">
        <v>0</v>
      </c>
      <c r="E255" s="54">
        <f>E256+E257+E258+E259+E260+E261</f>
        <v>4300</v>
      </c>
      <c r="F255" s="54">
        <v>0</v>
      </c>
      <c r="G255" s="54">
        <v>0</v>
      </c>
      <c r="H255" s="54">
        <f>H256+H257+H258+H259+H260+H261</f>
        <v>4300</v>
      </c>
      <c r="I255" s="54">
        <v>0</v>
      </c>
      <c r="J255" s="54">
        <v>0</v>
      </c>
      <c r="K255" s="98">
        <v>0</v>
      </c>
      <c r="L255" s="99">
        <v>0</v>
      </c>
    </row>
    <row r="256" spans="1:12" ht="12.75" customHeight="1">
      <c r="A256" s="103"/>
      <c r="B256" s="124">
        <v>2012</v>
      </c>
      <c r="C256" s="54">
        <f t="shared" si="91"/>
        <v>2500</v>
      </c>
      <c r="D256" s="54">
        <v>0</v>
      </c>
      <c r="E256" s="54">
        <f aca="true" t="shared" si="96" ref="E256:E261">F256+G256+H256</f>
        <v>2500</v>
      </c>
      <c r="F256" s="54">
        <v>0</v>
      </c>
      <c r="G256" s="54">
        <v>0</v>
      </c>
      <c r="H256" s="54">
        <v>2500</v>
      </c>
      <c r="I256" s="54">
        <v>0</v>
      </c>
      <c r="J256" s="54">
        <v>0</v>
      </c>
      <c r="K256" s="98">
        <v>0</v>
      </c>
      <c r="L256" s="100">
        <v>0</v>
      </c>
    </row>
    <row r="257" spans="1:12" ht="12.75" customHeight="1">
      <c r="A257" s="103"/>
      <c r="B257" s="124">
        <v>2013</v>
      </c>
      <c r="C257" s="54">
        <f t="shared" si="91"/>
        <v>1800</v>
      </c>
      <c r="D257" s="54">
        <v>0</v>
      </c>
      <c r="E257" s="54">
        <f t="shared" si="96"/>
        <v>1800</v>
      </c>
      <c r="F257" s="54">
        <v>0</v>
      </c>
      <c r="G257" s="54">
        <v>0</v>
      </c>
      <c r="H257" s="54">
        <v>1800</v>
      </c>
      <c r="I257" s="54">
        <v>0</v>
      </c>
      <c r="J257" s="54">
        <v>0</v>
      </c>
      <c r="K257" s="98">
        <v>0</v>
      </c>
      <c r="L257" s="100">
        <v>0</v>
      </c>
    </row>
    <row r="258" spans="1:12" ht="12.75" customHeight="1">
      <c r="A258" s="103"/>
      <c r="B258" s="124">
        <v>2014</v>
      </c>
      <c r="C258" s="54">
        <f t="shared" si="91"/>
        <v>0</v>
      </c>
      <c r="D258" s="54">
        <v>0</v>
      </c>
      <c r="E258" s="54">
        <f t="shared" si="96"/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98">
        <v>0</v>
      </c>
      <c r="L258" s="100">
        <v>0</v>
      </c>
    </row>
    <row r="259" spans="1:12" ht="12.75" customHeight="1">
      <c r="A259" s="103"/>
      <c r="B259" s="124">
        <v>2015</v>
      </c>
      <c r="C259" s="54">
        <f t="shared" si="91"/>
        <v>0</v>
      </c>
      <c r="D259" s="54">
        <v>0</v>
      </c>
      <c r="E259" s="54">
        <f t="shared" si="96"/>
        <v>0</v>
      </c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98">
        <v>0</v>
      </c>
      <c r="L259" s="100">
        <v>0</v>
      </c>
    </row>
    <row r="260" spans="1:12" ht="12.75" customHeight="1">
      <c r="A260" s="103"/>
      <c r="B260" s="124">
        <v>2016</v>
      </c>
      <c r="C260" s="54">
        <f t="shared" si="91"/>
        <v>0</v>
      </c>
      <c r="D260" s="54">
        <v>0</v>
      </c>
      <c r="E260" s="54">
        <f t="shared" si="96"/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98">
        <v>0</v>
      </c>
      <c r="L260" s="100">
        <v>0</v>
      </c>
    </row>
    <row r="261" spans="1:12" ht="19.5" customHeight="1">
      <c r="A261" s="103"/>
      <c r="B261" s="124" t="s">
        <v>325</v>
      </c>
      <c r="C261" s="54">
        <f t="shared" si="91"/>
        <v>0</v>
      </c>
      <c r="D261" s="54">
        <v>0</v>
      </c>
      <c r="E261" s="54">
        <f t="shared" si="96"/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98"/>
      <c r="L261" s="100"/>
    </row>
    <row r="262" spans="1:12" ht="56.25" customHeight="1">
      <c r="A262" s="103"/>
      <c r="B262" s="125" t="s">
        <v>343</v>
      </c>
      <c r="C262" s="54">
        <f t="shared" si="91"/>
        <v>1000</v>
      </c>
      <c r="D262" s="54">
        <v>0</v>
      </c>
      <c r="E262" s="54">
        <f>E263+E264+E265+E266+E267+E268</f>
        <v>1000</v>
      </c>
      <c r="F262" s="54">
        <v>0</v>
      </c>
      <c r="G262" s="54">
        <v>0</v>
      </c>
      <c r="H262" s="54">
        <f>H263+H264</f>
        <v>1000</v>
      </c>
      <c r="I262" s="54">
        <v>0</v>
      </c>
      <c r="J262" s="54">
        <v>0</v>
      </c>
      <c r="K262" s="98">
        <v>0</v>
      </c>
      <c r="L262" s="99">
        <v>0</v>
      </c>
    </row>
    <row r="263" spans="1:12" ht="12.75" customHeight="1">
      <c r="A263" s="103"/>
      <c r="B263" s="124">
        <v>2012</v>
      </c>
      <c r="C263" s="54">
        <f t="shared" si="91"/>
        <v>600</v>
      </c>
      <c r="D263" s="54">
        <v>0</v>
      </c>
      <c r="E263" s="54">
        <f>F263+G263+H263</f>
        <v>600</v>
      </c>
      <c r="F263" s="54">
        <v>0</v>
      </c>
      <c r="G263" s="54">
        <v>0</v>
      </c>
      <c r="H263" s="54">
        <v>600</v>
      </c>
      <c r="I263" s="54">
        <v>0</v>
      </c>
      <c r="J263" s="54">
        <v>0</v>
      </c>
      <c r="K263" s="98">
        <v>0</v>
      </c>
      <c r="L263" s="100">
        <v>0</v>
      </c>
    </row>
    <row r="264" spans="1:12" ht="12.75" customHeight="1">
      <c r="A264" s="103"/>
      <c r="B264" s="124">
        <v>2013</v>
      </c>
      <c r="C264" s="54">
        <f t="shared" si="91"/>
        <v>400</v>
      </c>
      <c r="D264" s="54">
        <v>0</v>
      </c>
      <c r="E264" s="54">
        <f>F264+G264+H264</f>
        <v>400</v>
      </c>
      <c r="F264" s="54">
        <v>0</v>
      </c>
      <c r="G264" s="54">
        <v>0</v>
      </c>
      <c r="H264" s="54">
        <v>400</v>
      </c>
      <c r="I264" s="54">
        <v>0</v>
      </c>
      <c r="J264" s="54">
        <v>0</v>
      </c>
      <c r="K264" s="98">
        <v>0</v>
      </c>
      <c r="L264" s="100">
        <v>0</v>
      </c>
    </row>
    <row r="265" spans="1:12" ht="12.75" customHeight="1">
      <c r="A265" s="103"/>
      <c r="B265" s="124">
        <v>2014</v>
      </c>
      <c r="C265" s="54">
        <f t="shared" si="91"/>
        <v>0</v>
      </c>
      <c r="D265" s="54">
        <v>0</v>
      </c>
      <c r="E265" s="54">
        <f>F265+G265+H265</f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98">
        <v>0</v>
      </c>
      <c r="L265" s="100">
        <v>0</v>
      </c>
    </row>
    <row r="266" spans="1:12" ht="12.75" customHeight="1">
      <c r="A266" s="103"/>
      <c r="B266" s="124">
        <v>2015</v>
      </c>
      <c r="C266" s="54">
        <f t="shared" si="91"/>
        <v>0</v>
      </c>
      <c r="D266" s="54">
        <v>0</v>
      </c>
      <c r="E266" s="54">
        <f>F266+G266+H266</f>
        <v>0</v>
      </c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98">
        <v>0</v>
      </c>
      <c r="L266" s="100">
        <v>0</v>
      </c>
    </row>
    <row r="267" spans="1:12" ht="12.75" customHeight="1">
      <c r="A267" s="103"/>
      <c r="B267" s="124">
        <v>2016</v>
      </c>
      <c r="C267" s="54">
        <f t="shared" si="91"/>
        <v>0</v>
      </c>
      <c r="D267" s="54">
        <v>0</v>
      </c>
      <c r="E267" s="54">
        <f>F267+G267+H267</f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98">
        <v>0</v>
      </c>
      <c r="L267" s="100">
        <v>0</v>
      </c>
    </row>
    <row r="268" spans="1:12" ht="12.75" customHeight="1">
      <c r="A268" s="103"/>
      <c r="B268" s="124" t="s">
        <v>325</v>
      </c>
      <c r="C268" s="54">
        <f t="shared" si="91"/>
        <v>0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98"/>
      <c r="L268" s="100"/>
    </row>
    <row r="269" spans="1:10" ht="41.25" customHeight="1">
      <c r="A269" s="5"/>
      <c r="B269" s="123" t="s">
        <v>344</v>
      </c>
      <c r="C269" s="54">
        <f aca="true" t="shared" si="97" ref="C269:J269">C270+C277</f>
        <v>4900</v>
      </c>
      <c r="D269" s="54">
        <f t="shared" si="97"/>
        <v>0</v>
      </c>
      <c r="E269" s="54">
        <f t="shared" si="97"/>
        <v>2200</v>
      </c>
      <c r="F269" s="54">
        <f t="shared" si="97"/>
        <v>0</v>
      </c>
      <c r="G269" s="54">
        <f t="shared" si="97"/>
        <v>0</v>
      </c>
      <c r="H269" s="54">
        <f t="shared" si="97"/>
        <v>2200</v>
      </c>
      <c r="I269" s="54">
        <f t="shared" si="97"/>
        <v>0</v>
      </c>
      <c r="J269" s="54">
        <f t="shared" si="97"/>
        <v>2700</v>
      </c>
    </row>
    <row r="270" spans="1:10" ht="45.75" customHeight="1">
      <c r="A270" s="5"/>
      <c r="B270" s="123" t="s">
        <v>321</v>
      </c>
      <c r="C270" s="54">
        <f t="shared" si="91"/>
        <v>2700</v>
      </c>
      <c r="D270" s="54">
        <f>D271+D272+D273+D274+D275+D276</f>
        <v>0</v>
      </c>
      <c r="E270" s="54">
        <f aca="true" t="shared" si="98" ref="E270:E275">F270+G270+H270</f>
        <v>0</v>
      </c>
      <c r="F270" s="54">
        <f>F271+F272+F273+F274+F275+F276</f>
        <v>0</v>
      </c>
      <c r="G270" s="54">
        <f>G271+G272+G273+G274+G275+G276</f>
        <v>0</v>
      </c>
      <c r="H270" s="54">
        <f>H271+H272+H273+H274+H275+H276</f>
        <v>0</v>
      </c>
      <c r="I270" s="54">
        <f>I271+I272+I273+I274+I275+I276</f>
        <v>0</v>
      </c>
      <c r="J270" s="54">
        <f>J271+J272+J273+J274+J275+J276</f>
        <v>2700</v>
      </c>
    </row>
    <row r="271" spans="1:10" ht="12.75" customHeight="1">
      <c r="A271" s="5"/>
      <c r="B271" s="124">
        <v>2012</v>
      </c>
      <c r="C271" s="54">
        <f t="shared" si="91"/>
        <v>300</v>
      </c>
      <c r="D271" s="54">
        <v>0</v>
      </c>
      <c r="E271" s="54">
        <f t="shared" si="98"/>
        <v>0</v>
      </c>
      <c r="F271" s="54">
        <v>0</v>
      </c>
      <c r="G271" s="54">
        <v>0</v>
      </c>
      <c r="H271" s="54">
        <v>0</v>
      </c>
      <c r="I271" s="54">
        <v>0</v>
      </c>
      <c r="J271" s="54">
        <v>300</v>
      </c>
    </row>
    <row r="272" spans="1:10" ht="12.75" customHeight="1">
      <c r="A272" s="5"/>
      <c r="B272" s="124">
        <v>2013</v>
      </c>
      <c r="C272" s="54">
        <f t="shared" si="91"/>
        <v>300</v>
      </c>
      <c r="D272" s="54">
        <v>0</v>
      </c>
      <c r="E272" s="54">
        <f t="shared" si="98"/>
        <v>0</v>
      </c>
      <c r="F272" s="54">
        <v>0</v>
      </c>
      <c r="G272" s="54">
        <v>0</v>
      </c>
      <c r="H272" s="54">
        <v>0</v>
      </c>
      <c r="I272" s="54">
        <v>0</v>
      </c>
      <c r="J272" s="54">
        <v>300</v>
      </c>
    </row>
    <row r="273" spans="1:10" ht="12.75" customHeight="1">
      <c r="A273" s="5"/>
      <c r="B273" s="124">
        <v>2014</v>
      </c>
      <c r="C273" s="54">
        <f t="shared" si="91"/>
        <v>300</v>
      </c>
      <c r="D273" s="54">
        <v>0</v>
      </c>
      <c r="E273" s="54">
        <f t="shared" si="98"/>
        <v>0</v>
      </c>
      <c r="F273" s="54">
        <v>0</v>
      </c>
      <c r="G273" s="54">
        <v>0</v>
      </c>
      <c r="H273" s="54">
        <v>0</v>
      </c>
      <c r="I273" s="54">
        <v>0</v>
      </c>
      <c r="J273" s="54">
        <v>300</v>
      </c>
    </row>
    <row r="274" spans="1:10" ht="12.75" customHeight="1">
      <c r="A274" s="5"/>
      <c r="B274" s="124">
        <v>2015</v>
      </c>
      <c r="C274" s="54">
        <f t="shared" si="91"/>
        <v>300</v>
      </c>
      <c r="D274" s="54">
        <v>0</v>
      </c>
      <c r="E274" s="54">
        <f t="shared" si="98"/>
        <v>0</v>
      </c>
      <c r="F274" s="54">
        <v>0</v>
      </c>
      <c r="G274" s="54">
        <v>0</v>
      </c>
      <c r="H274" s="54">
        <v>0</v>
      </c>
      <c r="I274" s="54">
        <v>0</v>
      </c>
      <c r="J274" s="54">
        <v>300</v>
      </c>
    </row>
    <row r="275" spans="1:10" ht="12.75" customHeight="1">
      <c r="A275" s="5"/>
      <c r="B275" s="124">
        <v>2016</v>
      </c>
      <c r="C275" s="54">
        <f t="shared" si="91"/>
        <v>300</v>
      </c>
      <c r="D275" s="54">
        <v>0</v>
      </c>
      <c r="E275" s="54">
        <f t="shared" si="98"/>
        <v>0</v>
      </c>
      <c r="F275" s="54">
        <v>0</v>
      </c>
      <c r="G275" s="54">
        <v>0</v>
      </c>
      <c r="H275" s="54">
        <v>0</v>
      </c>
      <c r="I275" s="54">
        <v>0</v>
      </c>
      <c r="J275" s="54">
        <v>300</v>
      </c>
    </row>
    <row r="276" spans="1:10" ht="12.75" customHeight="1">
      <c r="A276" s="5"/>
      <c r="B276" s="124" t="s">
        <v>325</v>
      </c>
      <c r="C276" s="54">
        <f>D276+E276+I276+J276</f>
        <v>1200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1200</v>
      </c>
    </row>
    <row r="277" spans="1:10" ht="57" customHeight="1">
      <c r="A277" s="5"/>
      <c r="B277" s="123" t="s">
        <v>345</v>
      </c>
      <c r="C277" s="54">
        <f aca="true" t="shared" si="99" ref="C277:C283">D277+E277+I277+J277+K277+L277</f>
        <v>2200</v>
      </c>
      <c r="D277" s="54">
        <f aca="true" t="shared" si="100" ref="D277:J277">D278+D279+D280+D281+D282+D283</f>
        <v>0</v>
      </c>
      <c r="E277" s="54">
        <f>E278+E279+E280+E281+E282+E283</f>
        <v>2200</v>
      </c>
      <c r="F277" s="54">
        <f t="shared" si="100"/>
        <v>0</v>
      </c>
      <c r="G277" s="54">
        <f t="shared" si="100"/>
        <v>0</v>
      </c>
      <c r="H277" s="54">
        <f t="shared" si="100"/>
        <v>2200</v>
      </c>
      <c r="I277" s="54">
        <f t="shared" si="100"/>
        <v>0</v>
      </c>
      <c r="J277" s="54">
        <f t="shared" si="100"/>
        <v>0</v>
      </c>
    </row>
    <row r="278" spans="1:10" ht="12.75" customHeight="1">
      <c r="A278" s="5"/>
      <c r="B278" s="124">
        <v>2012</v>
      </c>
      <c r="C278" s="54">
        <f t="shared" si="99"/>
        <v>1200</v>
      </c>
      <c r="D278" s="54">
        <v>0</v>
      </c>
      <c r="E278" s="54">
        <f aca="true" t="shared" si="101" ref="E278:E283">F278+G278+H278</f>
        <v>1200</v>
      </c>
      <c r="F278" s="54">
        <v>0</v>
      </c>
      <c r="G278" s="54">
        <v>0</v>
      </c>
      <c r="H278" s="54">
        <v>1200</v>
      </c>
      <c r="I278" s="54">
        <v>0</v>
      </c>
      <c r="J278" s="54">
        <v>0</v>
      </c>
    </row>
    <row r="279" spans="1:10" ht="12.75" customHeight="1">
      <c r="A279" s="5"/>
      <c r="B279" s="124">
        <v>2013</v>
      </c>
      <c r="C279" s="54">
        <f t="shared" si="99"/>
        <v>1000</v>
      </c>
      <c r="D279" s="54">
        <v>0</v>
      </c>
      <c r="E279" s="54">
        <f t="shared" si="101"/>
        <v>1000</v>
      </c>
      <c r="F279" s="54">
        <v>0</v>
      </c>
      <c r="G279" s="54">
        <v>0</v>
      </c>
      <c r="H279" s="54">
        <v>1000</v>
      </c>
      <c r="I279" s="54">
        <v>0</v>
      </c>
      <c r="J279" s="54">
        <v>0</v>
      </c>
    </row>
    <row r="280" spans="1:10" ht="12.75" customHeight="1">
      <c r="A280" s="5"/>
      <c r="B280" s="124">
        <v>2014</v>
      </c>
      <c r="C280" s="54">
        <f t="shared" si="99"/>
        <v>0</v>
      </c>
      <c r="D280" s="54">
        <v>0</v>
      </c>
      <c r="E280" s="54">
        <f t="shared" si="101"/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0</v>
      </c>
    </row>
    <row r="281" spans="1:10" ht="12.75" customHeight="1">
      <c r="A281" s="5"/>
      <c r="B281" s="124">
        <v>2015</v>
      </c>
      <c r="C281" s="54">
        <f t="shared" si="99"/>
        <v>0</v>
      </c>
      <c r="D281" s="54">
        <v>0</v>
      </c>
      <c r="E281" s="54">
        <f t="shared" si="101"/>
        <v>0</v>
      </c>
      <c r="F281" s="54">
        <v>0</v>
      </c>
      <c r="G281" s="54">
        <v>0</v>
      </c>
      <c r="H281" s="54">
        <v>0</v>
      </c>
      <c r="I281" s="54">
        <v>0</v>
      </c>
      <c r="J281" s="54">
        <v>0</v>
      </c>
    </row>
    <row r="282" spans="1:10" ht="12.75" customHeight="1">
      <c r="A282" s="5"/>
      <c r="B282" s="124">
        <v>2016</v>
      </c>
      <c r="C282" s="54">
        <f t="shared" si="99"/>
        <v>0</v>
      </c>
      <c r="D282" s="54">
        <v>0</v>
      </c>
      <c r="E282" s="54">
        <f t="shared" si="101"/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</row>
    <row r="283" spans="1:10" ht="12.75" customHeight="1">
      <c r="A283" s="5"/>
      <c r="B283" s="124" t="s">
        <v>325</v>
      </c>
      <c r="C283" s="54">
        <f t="shared" si="99"/>
        <v>0</v>
      </c>
      <c r="D283" s="54">
        <v>0</v>
      </c>
      <c r="E283" s="54">
        <f t="shared" si="101"/>
        <v>0</v>
      </c>
      <c r="F283" s="54">
        <v>0</v>
      </c>
      <c r="G283" s="54">
        <v>0</v>
      </c>
      <c r="H283" s="54">
        <v>0</v>
      </c>
      <c r="I283" s="54">
        <v>0</v>
      </c>
      <c r="J283" s="54">
        <v>0</v>
      </c>
    </row>
    <row r="284" spans="1:10" ht="38.25">
      <c r="A284" s="5">
        <v>3</v>
      </c>
      <c r="B284" s="122" t="s">
        <v>310</v>
      </c>
      <c r="C284" s="97">
        <f>C292+C300+C316+C308</f>
        <v>6768515.346999999</v>
      </c>
      <c r="D284" s="97">
        <f>D292+D300+D316+D308</f>
        <v>64599.217</v>
      </c>
      <c r="E284" s="97">
        <f aca="true" t="shared" si="102" ref="E284:J284">E292+E300+E316+E308</f>
        <v>3816496.6</v>
      </c>
      <c r="F284" s="97">
        <f t="shared" si="102"/>
        <v>0</v>
      </c>
      <c r="G284" s="97">
        <f t="shared" si="102"/>
        <v>0</v>
      </c>
      <c r="H284" s="97">
        <f t="shared" si="102"/>
        <v>3816496.6</v>
      </c>
      <c r="I284" s="97">
        <f t="shared" si="102"/>
        <v>530391.66</v>
      </c>
      <c r="J284" s="97">
        <f t="shared" si="102"/>
        <v>2357027.87</v>
      </c>
    </row>
    <row r="285" spans="1:10" ht="12.75">
      <c r="A285" s="5"/>
      <c r="B285" s="121" t="s">
        <v>323</v>
      </c>
      <c r="C285" s="96"/>
      <c r="D285" s="96"/>
      <c r="E285" s="96"/>
      <c r="F285" s="96"/>
      <c r="G285" s="96"/>
      <c r="H285" s="96"/>
      <c r="I285" s="96"/>
      <c r="J285" s="96"/>
    </row>
    <row r="286" spans="1:10" ht="12.75">
      <c r="A286" s="5"/>
      <c r="B286" s="121" t="s">
        <v>270</v>
      </c>
      <c r="C286" s="96">
        <f aca="true" t="shared" si="103" ref="C286:J286">C294+C302+C317+C310</f>
        <v>1623050.747</v>
      </c>
      <c r="D286" s="96">
        <f t="shared" si="103"/>
        <v>64599.217</v>
      </c>
      <c r="E286" s="96">
        <f t="shared" si="103"/>
        <v>433429.1</v>
      </c>
      <c r="F286" s="96">
        <f t="shared" si="103"/>
        <v>0</v>
      </c>
      <c r="G286" s="96">
        <f t="shared" si="103"/>
        <v>0</v>
      </c>
      <c r="H286" s="96">
        <f t="shared" si="103"/>
        <v>433429.1</v>
      </c>
      <c r="I286" s="96">
        <f t="shared" si="103"/>
        <v>52103.3</v>
      </c>
      <c r="J286" s="96">
        <f t="shared" si="103"/>
        <v>1072919.13</v>
      </c>
    </row>
    <row r="287" spans="1:10" ht="12.75">
      <c r="A287" s="5"/>
      <c r="B287" s="121" t="s">
        <v>271</v>
      </c>
      <c r="C287" s="96">
        <f aca="true" t="shared" si="104" ref="C287:J291">C295+C303+C318+C311</f>
        <v>1561571.766</v>
      </c>
      <c r="D287" s="96">
        <f t="shared" si="104"/>
        <v>0</v>
      </c>
      <c r="E287" s="96">
        <f t="shared" si="104"/>
        <v>431969.6</v>
      </c>
      <c r="F287" s="96">
        <f t="shared" si="104"/>
        <v>0</v>
      </c>
      <c r="G287" s="96">
        <f t="shared" si="104"/>
        <v>0</v>
      </c>
      <c r="H287" s="96">
        <f t="shared" si="104"/>
        <v>431969.6</v>
      </c>
      <c r="I287" s="96">
        <f t="shared" si="104"/>
        <v>55177.4</v>
      </c>
      <c r="J287" s="96">
        <f t="shared" si="104"/>
        <v>1074424.766</v>
      </c>
    </row>
    <row r="288" spans="1:10" ht="12.75">
      <c r="A288" s="5"/>
      <c r="B288" s="121" t="s">
        <v>272</v>
      </c>
      <c r="C288" s="96">
        <f t="shared" si="104"/>
        <v>519951.89999999997</v>
      </c>
      <c r="D288" s="96">
        <f t="shared" si="104"/>
        <v>0</v>
      </c>
      <c r="E288" s="96">
        <f t="shared" si="104"/>
        <v>433475.3</v>
      </c>
      <c r="F288" s="96">
        <f t="shared" si="104"/>
        <v>0</v>
      </c>
      <c r="G288" s="96">
        <f t="shared" si="104"/>
        <v>0</v>
      </c>
      <c r="H288" s="96">
        <f t="shared" si="104"/>
        <v>433475.3</v>
      </c>
      <c r="I288" s="96">
        <f t="shared" si="104"/>
        <v>58046.6</v>
      </c>
      <c r="J288" s="96">
        <f>J296+J304+J319+J312</f>
        <v>28430</v>
      </c>
    </row>
    <row r="289" spans="1:10" ht="12.75">
      <c r="A289" s="5"/>
      <c r="B289" s="121" t="s">
        <v>273</v>
      </c>
      <c r="C289" s="96">
        <f t="shared" si="104"/>
        <v>510543.18700000003</v>
      </c>
      <c r="D289" s="96">
        <f t="shared" si="104"/>
        <v>0</v>
      </c>
      <c r="E289" s="96">
        <f t="shared" si="104"/>
        <v>419656.2</v>
      </c>
      <c r="F289" s="96">
        <f t="shared" si="104"/>
        <v>0</v>
      </c>
      <c r="G289" s="96">
        <f t="shared" si="104"/>
        <v>0</v>
      </c>
      <c r="H289" s="96">
        <f t="shared" si="104"/>
        <v>419656.2</v>
      </c>
      <c r="I289" s="96">
        <f t="shared" si="104"/>
        <v>61007</v>
      </c>
      <c r="J289" s="96">
        <f t="shared" si="104"/>
        <v>29879.987</v>
      </c>
    </row>
    <row r="290" spans="1:10" ht="12.75">
      <c r="A290" s="5"/>
      <c r="B290" s="121" t="s">
        <v>274</v>
      </c>
      <c r="C290" s="96">
        <f t="shared" si="104"/>
        <v>516337.74700000003</v>
      </c>
      <c r="D290" s="96">
        <f t="shared" si="104"/>
        <v>0</v>
      </c>
      <c r="E290" s="96">
        <f t="shared" si="104"/>
        <v>420906.4</v>
      </c>
      <c r="F290" s="96">
        <f t="shared" si="104"/>
        <v>0</v>
      </c>
      <c r="G290" s="96">
        <f t="shared" si="104"/>
        <v>0</v>
      </c>
      <c r="H290" s="96">
        <f t="shared" si="104"/>
        <v>420906.4</v>
      </c>
      <c r="I290" s="96">
        <f t="shared" si="104"/>
        <v>64057.36</v>
      </c>
      <c r="J290" s="96">
        <f t="shared" si="104"/>
        <v>31373.987</v>
      </c>
    </row>
    <row r="291" spans="1:10" ht="12.75">
      <c r="A291" s="5"/>
      <c r="B291" s="121" t="s">
        <v>324</v>
      </c>
      <c r="C291" s="96">
        <f t="shared" si="104"/>
        <v>2037060</v>
      </c>
      <c r="D291" s="96">
        <f t="shared" si="104"/>
        <v>0</v>
      </c>
      <c r="E291" s="96">
        <f t="shared" si="104"/>
        <v>1677060</v>
      </c>
      <c r="F291" s="96">
        <f t="shared" si="104"/>
        <v>0</v>
      </c>
      <c r="G291" s="96">
        <f t="shared" si="104"/>
        <v>0</v>
      </c>
      <c r="H291" s="96">
        <f t="shared" si="104"/>
        <v>1677060</v>
      </c>
      <c r="I291" s="96">
        <f t="shared" si="104"/>
        <v>240000</v>
      </c>
      <c r="J291" s="96">
        <f t="shared" si="104"/>
        <v>120000</v>
      </c>
    </row>
    <row r="292" spans="1:10" ht="12.75">
      <c r="A292" s="5"/>
      <c r="B292" s="123" t="s">
        <v>311</v>
      </c>
      <c r="C292" s="54">
        <f>C293</f>
        <v>2139800</v>
      </c>
      <c r="D292" s="54">
        <f aca="true" t="shared" si="105" ref="D292:J292">D293</f>
        <v>0</v>
      </c>
      <c r="E292" s="54">
        <f t="shared" si="105"/>
        <v>45000</v>
      </c>
      <c r="F292" s="54">
        <f t="shared" si="105"/>
        <v>0</v>
      </c>
      <c r="G292" s="54">
        <f t="shared" si="105"/>
        <v>0</v>
      </c>
      <c r="H292" s="54">
        <f t="shared" si="105"/>
        <v>45000</v>
      </c>
      <c r="I292" s="54">
        <f t="shared" si="105"/>
        <v>0</v>
      </c>
      <c r="J292" s="54">
        <f t="shared" si="105"/>
        <v>2094800</v>
      </c>
    </row>
    <row r="293" spans="1:10" ht="25.5">
      <c r="A293" s="5"/>
      <c r="B293" s="123" t="s">
        <v>312</v>
      </c>
      <c r="C293" s="54">
        <f aca="true" t="shared" si="106" ref="C293:C299">D293+E293+I293+J293</f>
        <v>2139800</v>
      </c>
      <c r="D293" s="54">
        <v>0</v>
      </c>
      <c r="E293" s="54">
        <f aca="true" t="shared" si="107" ref="E293:J293">SUM(E294:E299)</f>
        <v>45000</v>
      </c>
      <c r="F293" s="54">
        <f t="shared" si="107"/>
        <v>0</v>
      </c>
      <c r="G293" s="54">
        <f t="shared" si="107"/>
        <v>0</v>
      </c>
      <c r="H293" s="54">
        <f t="shared" si="107"/>
        <v>45000</v>
      </c>
      <c r="I293" s="54">
        <f t="shared" si="107"/>
        <v>0</v>
      </c>
      <c r="J293" s="54">
        <f t="shared" si="107"/>
        <v>2094800</v>
      </c>
    </row>
    <row r="294" spans="1:10" ht="12.75">
      <c r="A294" s="5"/>
      <c r="B294" s="124">
        <v>2012</v>
      </c>
      <c r="C294" s="54">
        <f t="shared" si="106"/>
        <v>1062400</v>
      </c>
      <c r="D294" s="54">
        <v>0</v>
      </c>
      <c r="E294" s="54">
        <f aca="true" t="shared" si="108" ref="E294:E299">F294+G294+H294</f>
        <v>15000</v>
      </c>
      <c r="F294" s="54">
        <v>0</v>
      </c>
      <c r="G294" s="54">
        <v>0</v>
      </c>
      <c r="H294" s="54">
        <v>15000</v>
      </c>
      <c r="I294" s="54">
        <v>0</v>
      </c>
      <c r="J294" s="54">
        <v>1047400</v>
      </c>
    </row>
    <row r="295" spans="1:10" ht="12.75">
      <c r="A295" s="5"/>
      <c r="B295" s="124">
        <v>2013</v>
      </c>
      <c r="C295" s="54">
        <f t="shared" si="106"/>
        <v>1062400</v>
      </c>
      <c r="D295" s="54">
        <v>0</v>
      </c>
      <c r="E295" s="54">
        <f t="shared" si="108"/>
        <v>15000</v>
      </c>
      <c r="F295" s="54">
        <v>0</v>
      </c>
      <c r="G295" s="54">
        <v>0</v>
      </c>
      <c r="H295" s="54">
        <v>15000</v>
      </c>
      <c r="I295" s="54">
        <v>0</v>
      </c>
      <c r="J295" s="54">
        <v>1047400</v>
      </c>
    </row>
    <row r="296" spans="1:10" ht="12.75">
      <c r="A296" s="5"/>
      <c r="B296" s="124">
        <v>2014</v>
      </c>
      <c r="C296" s="54">
        <f t="shared" si="106"/>
        <v>15000</v>
      </c>
      <c r="D296" s="54">
        <v>0</v>
      </c>
      <c r="E296" s="54">
        <f t="shared" si="108"/>
        <v>15000</v>
      </c>
      <c r="F296" s="54">
        <v>0</v>
      </c>
      <c r="G296" s="54">
        <v>0</v>
      </c>
      <c r="H296" s="54">
        <v>15000</v>
      </c>
      <c r="I296" s="54">
        <v>0</v>
      </c>
      <c r="J296" s="54">
        <v>0</v>
      </c>
    </row>
    <row r="297" spans="1:10" ht="12.75">
      <c r="A297" s="5"/>
      <c r="B297" s="124">
        <v>2015</v>
      </c>
      <c r="C297" s="54">
        <f t="shared" si="106"/>
        <v>0</v>
      </c>
      <c r="D297" s="54">
        <v>0</v>
      </c>
      <c r="E297" s="54">
        <f t="shared" si="108"/>
        <v>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</row>
    <row r="298" spans="1:10" ht="12.75">
      <c r="A298" s="5"/>
      <c r="B298" s="124">
        <v>2016</v>
      </c>
      <c r="C298" s="54">
        <f t="shared" si="106"/>
        <v>0</v>
      </c>
      <c r="D298" s="54">
        <v>0</v>
      </c>
      <c r="E298" s="54">
        <f t="shared" si="108"/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</row>
    <row r="299" spans="1:10" ht="12.75">
      <c r="A299" s="5"/>
      <c r="B299" s="124" t="s">
        <v>325</v>
      </c>
      <c r="C299" s="54">
        <f t="shared" si="106"/>
        <v>0</v>
      </c>
      <c r="D299" s="54">
        <v>0</v>
      </c>
      <c r="E299" s="54">
        <f t="shared" si="108"/>
        <v>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</row>
    <row r="300" spans="1:10" ht="25.5">
      <c r="A300" s="5"/>
      <c r="B300" s="123" t="s">
        <v>313</v>
      </c>
      <c r="C300" s="54">
        <f>C301</f>
        <v>4457218.7469999995</v>
      </c>
      <c r="D300" s="54">
        <f>D301</f>
        <v>64599.217</v>
      </c>
      <c r="E300" s="54">
        <f aca="true" t="shared" si="109" ref="E300:J300">E301</f>
        <v>3600000</v>
      </c>
      <c r="F300" s="54">
        <f t="shared" si="109"/>
        <v>0</v>
      </c>
      <c r="G300" s="54">
        <f t="shared" si="109"/>
        <v>0</v>
      </c>
      <c r="H300" s="54">
        <f t="shared" si="109"/>
        <v>3600000</v>
      </c>
      <c r="I300" s="54">
        <f t="shared" si="109"/>
        <v>530391.66</v>
      </c>
      <c r="J300" s="54">
        <f t="shared" si="109"/>
        <v>262227.87</v>
      </c>
    </row>
    <row r="301" spans="1:10" ht="25.5">
      <c r="A301" s="5"/>
      <c r="B301" s="123" t="s">
        <v>346</v>
      </c>
      <c r="C301" s="54">
        <f>SUM(C302:C307)</f>
        <v>4457218.7469999995</v>
      </c>
      <c r="D301" s="54">
        <f>SUM(D302:D307)</f>
        <v>64599.217</v>
      </c>
      <c r="E301" s="54">
        <f aca="true" t="shared" si="110" ref="E301:J301">SUM(E302:E307)</f>
        <v>3600000</v>
      </c>
      <c r="F301" s="54">
        <f t="shared" si="110"/>
        <v>0</v>
      </c>
      <c r="G301" s="54">
        <f t="shared" si="110"/>
        <v>0</v>
      </c>
      <c r="H301" s="54">
        <f t="shared" si="110"/>
        <v>3600000</v>
      </c>
      <c r="I301" s="54">
        <f t="shared" si="110"/>
        <v>530391.66</v>
      </c>
      <c r="J301" s="54">
        <f t="shared" si="110"/>
        <v>262227.87</v>
      </c>
    </row>
    <row r="302" spans="1:10" ht="12.75">
      <c r="A302" s="5"/>
      <c r="B302" s="124">
        <v>2012</v>
      </c>
      <c r="C302" s="54">
        <f aca="true" t="shared" si="111" ref="C302:C307">D302+E302+I302+J302</f>
        <v>542221.647</v>
      </c>
      <c r="D302" s="54">
        <v>64599.217</v>
      </c>
      <c r="E302" s="54">
        <f aca="true" t="shared" si="112" ref="E302:E307">F302+G302+H302</f>
        <v>400000</v>
      </c>
      <c r="F302" s="54">
        <v>0</v>
      </c>
      <c r="G302" s="54">
        <v>0</v>
      </c>
      <c r="H302" s="54">
        <v>400000</v>
      </c>
      <c r="I302" s="54">
        <v>52103.3</v>
      </c>
      <c r="J302" s="54">
        <v>25519.13</v>
      </c>
    </row>
    <row r="303" spans="1:10" ht="12.75">
      <c r="A303" s="5"/>
      <c r="B303" s="124">
        <v>2013</v>
      </c>
      <c r="C303" s="54">
        <f t="shared" si="111"/>
        <v>482202.166</v>
      </c>
      <c r="D303" s="54">
        <v>0</v>
      </c>
      <c r="E303" s="54">
        <f t="shared" si="112"/>
        <v>400000</v>
      </c>
      <c r="F303" s="54">
        <v>0</v>
      </c>
      <c r="G303" s="54">
        <v>0</v>
      </c>
      <c r="H303" s="54">
        <v>400000</v>
      </c>
      <c r="I303" s="54">
        <v>55177.4</v>
      </c>
      <c r="J303" s="54">
        <v>27024.766</v>
      </c>
    </row>
    <row r="304" spans="1:10" ht="12.75">
      <c r="A304" s="5"/>
      <c r="B304" s="124">
        <v>2014</v>
      </c>
      <c r="C304" s="54">
        <f t="shared" si="111"/>
        <v>486476.6</v>
      </c>
      <c r="D304" s="54">
        <v>0</v>
      </c>
      <c r="E304" s="54">
        <f t="shared" si="112"/>
        <v>400000</v>
      </c>
      <c r="F304" s="54">
        <v>0</v>
      </c>
      <c r="G304" s="54">
        <v>0</v>
      </c>
      <c r="H304" s="54">
        <v>400000</v>
      </c>
      <c r="I304" s="54">
        <v>58046.6</v>
      </c>
      <c r="J304" s="54">
        <v>28430</v>
      </c>
    </row>
    <row r="305" spans="1:10" ht="12.75">
      <c r="A305" s="5"/>
      <c r="B305" s="124">
        <v>2015</v>
      </c>
      <c r="C305" s="54">
        <f t="shared" si="111"/>
        <v>490886.987</v>
      </c>
      <c r="D305" s="54">
        <v>0</v>
      </c>
      <c r="E305" s="54">
        <f t="shared" si="112"/>
        <v>400000</v>
      </c>
      <c r="F305" s="54">
        <v>0</v>
      </c>
      <c r="G305" s="54">
        <v>0</v>
      </c>
      <c r="H305" s="54">
        <v>400000</v>
      </c>
      <c r="I305" s="54">
        <v>61007</v>
      </c>
      <c r="J305" s="54">
        <v>29879.987</v>
      </c>
    </row>
    <row r="306" spans="1:10" ht="12.75">
      <c r="A306" s="5"/>
      <c r="B306" s="124">
        <v>2016</v>
      </c>
      <c r="C306" s="54">
        <f t="shared" si="111"/>
        <v>495431.347</v>
      </c>
      <c r="D306" s="54">
        <v>0</v>
      </c>
      <c r="E306" s="54">
        <f t="shared" si="112"/>
        <v>400000</v>
      </c>
      <c r="F306" s="54">
        <v>0</v>
      </c>
      <c r="G306" s="54">
        <v>0</v>
      </c>
      <c r="H306" s="54">
        <v>400000</v>
      </c>
      <c r="I306" s="54">
        <v>64057.36</v>
      </c>
      <c r="J306" s="54">
        <v>31373.987</v>
      </c>
    </row>
    <row r="307" spans="1:10" ht="12.75">
      <c r="A307" s="5"/>
      <c r="B307" s="124" t="s">
        <v>325</v>
      </c>
      <c r="C307" s="54">
        <f t="shared" si="111"/>
        <v>1960000</v>
      </c>
      <c r="D307" s="54">
        <v>0</v>
      </c>
      <c r="E307" s="54">
        <f t="shared" si="112"/>
        <v>1600000</v>
      </c>
      <c r="F307" s="54">
        <v>0</v>
      </c>
      <c r="G307" s="54">
        <v>0</v>
      </c>
      <c r="H307" s="54">
        <v>1600000</v>
      </c>
      <c r="I307" s="54">
        <v>240000</v>
      </c>
      <c r="J307" s="54">
        <v>120000</v>
      </c>
    </row>
    <row r="308" spans="1:10" ht="25.5">
      <c r="A308" s="5"/>
      <c r="B308" s="123" t="s">
        <v>317</v>
      </c>
      <c r="C308" s="54">
        <f>C309</f>
        <v>0</v>
      </c>
      <c r="D308" s="54">
        <f aca="true" t="shared" si="113" ref="D308:J308">D309</f>
        <v>0</v>
      </c>
      <c r="E308" s="54">
        <f t="shared" si="113"/>
        <v>0</v>
      </c>
      <c r="F308" s="54">
        <f t="shared" si="113"/>
        <v>0</v>
      </c>
      <c r="G308" s="54">
        <f t="shared" si="113"/>
        <v>0</v>
      </c>
      <c r="H308" s="54">
        <f t="shared" si="113"/>
        <v>0</v>
      </c>
      <c r="I308" s="54">
        <f t="shared" si="113"/>
        <v>0</v>
      </c>
      <c r="J308" s="54">
        <f t="shared" si="113"/>
        <v>0</v>
      </c>
    </row>
    <row r="309" spans="1:10" ht="38.25">
      <c r="A309" s="5"/>
      <c r="B309" s="123" t="s">
        <v>318</v>
      </c>
      <c r="C309" s="54">
        <f>SUM(C310:C315)</f>
        <v>0</v>
      </c>
      <c r="D309" s="54">
        <f aca="true" t="shared" si="114" ref="D309:J309">SUM(D310:D315)</f>
        <v>0</v>
      </c>
      <c r="E309" s="54">
        <f t="shared" si="114"/>
        <v>0</v>
      </c>
      <c r="F309" s="54">
        <f t="shared" si="114"/>
        <v>0</v>
      </c>
      <c r="G309" s="54">
        <f t="shared" si="114"/>
        <v>0</v>
      </c>
      <c r="H309" s="54">
        <f t="shared" si="114"/>
        <v>0</v>
      </c>
      <c r="I309" s="54">
        <f t="shared" si="114"/>
        <v>0</v>
      </c>
      <c r="J309" s="54">
        <f t="shared" si="114"/>
        <v>0</v>
      </c>
    </row>
    <row r="310" spans="1:10" ht="12.75">
      <c r="A310" s="5"/>
      <c r="B310" s="124">
        <v>2012</v>
      </c>
      <c r="C310" s="54">
        <f aca="true" t="shared" si="115" ref="C310:C315">D310+E310+I310+J310</f>
        <v>0</v>
      </c>
      <c r="D310" s="54">
        <v>0</v>
      </c>
      <c r="E310" s="54">
        <f aca="true" t="shared" si="116" ref="E310:E315">F310+G310+H310</f>
        <v>0</v>
      </c>
      <c r="F310" s="54">
        <v>0</v>
      </c>
      <c r="G310" s="54">
        <v>0</v>
      </c>
      <c r="H310" s="54">
        <v>0</v>
      </c>
      <c r="I310" s="54">
        <v>0</v>
      </c>
      <c r="J310" s="54">
        <v>0</v>
      </c>
    </row>
    <row r="311" spans="1:10" ht="12.75">
      <c r="A311" s="5"/>
      <c r="B311" s="124">
        <v>2013</v>
      </c>
      <c r="C311" s="54">
        <f t="shared" si="115"/>
        <v>0</v>
      </c>
      <c r="D311" s="54">
        <v>0</v>
      </c>
      <c r="E311" s="54">
        <f t="shared" si="116"/>
        <v>0</v>
      </c>
      <c r="F311" s="54">
        <v>0</v>
      </c>
      <c r="G311" s="54">
        <v>0</v>
      </c>
      <c r="H311" s="54">
        <v>0</v>
      </c>
      <c r="I311" s="54">
        <v>0</v>
      </c>
      <c r="J311" s="54">
        <v>0</v>
      </c>
    </row>
    <row r="312" spans="1:10" ht="12.75">
      <c r="A312" s="5"/>
      <c r="B312" s="124">
        <v>2014</v>
      </c>
      <c r="C312" s="54">
        <f t="shared" si="115"/>
        <v>0</v>
      </c>
      <c r="D312" s="54">
        <v>0</v>
      </c>
      <c r="E312" s="54">
        <f t="shared" si="116"/>
        <v>0</v>
      </c>
      <c r="F312" s="54">
        <v>0</v>
      </c>
      <c r="G312" s="54">
        <v>0</v>
      </c>
      <c r="H312" s="54">
        <v>0</v>
      </c>
      <c r="I312" s="54">
        <v>0</v>
      </c>
      <c r="J312" s="54">
        <v>0</v>
      </c>
    </row>
    <row r="313" spans="1:10" ht="12.75">
      <c r="A313" s="5"/>
      <c r="B313" s="124">
        <v>2015</v>
      </c>
      <c r="C313" s="54">
        <f t="shared" si="115"/>
        <v>0</v>
      </c>
      <c r="D313" s="54">
        <v>0</v>
      </c>
      <c r="E313" s="54">
        <f t="shared" si="116"/>
        <v>0</v>
      </c>
      <c r="F313" s="54">
        <v>0</v>
      </c>
      <c r="G313" s="54">
        <v>0</v>
      </c>
      <c r="H313" s="54">
        <v>0</v>
      </c>
      <c r="I313" s="54">
        <v>0</v>
      </c>
      <c r="J313" s="54">
        <v>0</v>
      </c>
    </row>
    <row r="314" spans="1:10" ht="12.75">
      <c r="A314" s="104"/>
      <c r="B314" s="126">
        <v>2016</v>
      </c>
      <c r="C314" s="54">
        <f t="shared" si="115"/>
        <v>0</v>
      </c>
      <c r="D314" s="105">
        <v>0</v>
      </c>
      <c r="E314" s="54">
        <f t="shared" si="116"/>
        <v>0</v>
      </c>
      <c r="F314" s="105">
        <v>0</v>
      </c>
      <c r="G314" s="105">
        <v>0</v>
      </c>
      <c r="H314" s="54">
        <v>0</v>
      </c>
      <c r="I314" s="105">
        <v>0</v>
      </c>
      <c r="J314" s="105">
        <v>0</v>
      </c>
    </row>
    <row r="315" spans="1:10" ht="12.75">
      <c r="A315" s="104"/>
      <c r="B315" s="124" t="s">
        <v>325</v>
      </c>
      <c r="C315" s="54">
        <f t="shared" si="115"/>
        <v>0</v>
      </c>
      <c r="D315" s="105">
        <v>0</v>
      </c>
      <c r="E315" s="54">
        <f t="shared" si="116"/>
        <v>0</v>
      </c>
      <c r="F315" s="105">
        <v>0</v>
      </c>
      <c r="G315" s="105">
        <v>0</v>
      </c>
      <c r="H315" s="54">
        <v>0</v>
      </c>
      <c r="I315" s="105">
        <v>0</v>
      </c>
      <c r="J315" s="105">
        <v>0</v>
      </c>
    </row>
    <row r="316" spans="1:10" s="106" customFormat="1" ht="12.75">
      <c r="A316" s="83"/>
      <c r="B316" s="123" t="s">
        <v>314</v>
      </c>
      <c r="C316" s="54">
        <f>SUM(C317:C322)</f>
        <v>171496.6</v>
      </c>
      <c r="D316" s="54">
        <f aca="true" t="shared" si="117" ref="D316:J316">SUM(D317:D322)</f>
        <v>0</v>
      </c>
      <c r="E316" s="54">
        <f t="shared" si="117"/>
        <v>171496.6</v>
      </c>
      <c r="F316" s="54">
        <f t="shared" si="117"/>
        <v>0</v>
      </c>
      <c r="G316" s="54">
        <f t="shared" si="117"/>
        <v>0</v>
      </c>
      <c r="H316" s="54">
        <f t="shared" si="117"/>
        <v>171496.6</v>
      </c>
      <c r="I316" s="54">
        <f t="shared" si="117"/>
        <v>0</v>
      </c>
      <c r="J316" s="54">
        <f t="shared" si="117"/>
        <v>0</v>
      </c>
    </row>
    <row r="317" spans="1:10" ht="12.75">
      <c r="A317" s="107"/>
      <c r="B317" s="127">
        <v>2012</v>
      </c>
      <c r="C317" s="76">
        <f aca="true" t="shared" si="118" ref="C317:C322">D317+E317+I317+J317</f>
        <v>18429.1</v>
      </c>
      <c r="D317" s="76">
        <v>0</v>
      </c>
      <c r="E317" s="76">
        <f aca="true" t="shared" si="119" ref="E317:E322">F317+G317+H317</f>
        <v>18429.1</v>
      </c>
      <c r="F317" s="76">
        <v>0</v>
      </c>
      <c r="G317" s="76">
        <v>0</v>
      </c>
      <c r="H317" s="76">
        <v>18429.1</v>
      </c>
      <c r="I317" s="76">
        <v>0</v>
      </c>
      <c r="J317" s="108">
        <v>0</v>
      </c>
    </row>
    <row r="318" spans="1:10" ht="12.75">
      <c r="A318" s="5"/>
      <c r="B318" s="124">
        <v>2013</v>
      </c>
      <c r="C318" s="54">
        <f t="shared" si="118"/>
        <v>16969.6</v>
      </c>
      <c r="D318" s="54">
        <v>0</v>
      </c>
      <c r="E318" s="54">
        <f t="shared" si="119"/>
        <v>16969.6</v>
      </c>
      <c r="F318" s="54">
        <v>0</v>
      </c>
      <c r="G318" s="54">
        <v>0</v>
      </c>
      <c r="H318" s="54">
        <v>16969.6</v>
      </c>
      <c r="I318" s="54">
        <v>0</v>
      </c>
      <c r="J318" s="109">
        <v>0</v>
      </c>
    </row>
    <row r="319" spans="1:10" ht="12.75">
      <c r="A319" s="5"/>
      <c r="B319" s="124">
        <v>2014</v>
      </c>
      <c r="C319" s="54">
        <f t="shared" si="118"/>
        <v>18475.3</v>
      </c>
      <c r="D319" s="54">
        <v>0</v>
      </c>
      <c r="E319" s="54">
        <f t="shared" si="119"/>
        <v>18475.3</v>
      </c>
      <c r="F319" s="54">
        <v>0</v>
      </c>
      <c r="G319" s="54">
        <v>0</v>
      </c>
      <c r="H319" s="54">
        <v>18475.3</v>
      </c>
      <c r="I319" s="54">
        <v>0</v>
      </c>
      <c r="J319" s="109">
        <v>0</v>
      </c>
    </row>
    <row r="320" spans="1:10" ht="12.75">
      <c r="A320" s="5"/>
      <c r="B320" s="124">
        <v>2015</v>
      </c>
      <c r="C320" s="54">
        <f t="shared" si="118"/>
        <v>19656.2</v>
      </c>
      <c r="D320" s="54">
        <v>0</v>
      </c>
      <c r="E320" s="54">
        <f t="shared" si="119"/>
        <v>19656.2</v>
      </c>
      <c r="F320" s="54">
        <v>0</v>
      </c>
      <c r="G320" s="54">
        <v>0</v>
      </c>
      <c r="H320" s="54">
        <v>19656.2</v>
      </c>
      <c r="I320" s="54">
        <v>0</v>
      </c>
      <c r="J320" s="109">
        <v>0</v>
      </c>
    </row>
    <row r="321" spans="1:10" ht="12.75">
      <c r="A321" s="5"/>
      <c r="B321" s="124">
        <v>2016</v>
      </c>
      <c r="C321" s="54">
        <f t="shared" si="118"/>
        <v>20906.4</v>
      </c>
      <c r="D321" s="54">
        <v>0</v>
      </c>
      <c r="E321" s="54">
        <f t="shared" si="119"/>
        <v>20906.4</v>
      </c>
      <c r="F321" s="54">
        <v>0</v>
      </c>
      <c r="G321" s="54">
        <v>0</v>
      </c>
      <c r="H321" s="54">
        <v>20906.4</v>
      </c>
      <c r="I321" s="54">
        <v>0</v>
      </c>
      <c r="J321" s="109">
        <v>0</v>
      </c>
    </row>
    <row r="322" spans="1:10" ht="12.75">
      <c r="A322" s="5"/>
      <c r="B322" s="124" t="s">
        <v>325</v>
      </c>
      <c r="C322" s="54">
        <f t="shared" si="118"/>
        <v>77060</v>
      </c>
      <c r="D322" s="54">
        <v>0</v>
      </c>
      <c r="E322" s="54">
        <f t="shared" si="119"/>
        <v>77060</v>
      </c>
      <c r="F322" s="54">
        <v>0</v>
      </c>
      <c r="G322" s="54">
        <v>0</v>
      </c>
      <c r="H322" s="54">
        <v>77060</v>
      </c>
      <c r="I322" s="54">
        <v>0</v>
      </c>
      <c r="J322" s="109">
        <v>0</v>
      </c>
    </row>
    <row r="323" spans="4:10" ht="12.75">
      <c r="D323" s="110"/>
      <c r="E323" s="110"/>
      <c r="F323" s="110"/>
      <c r="G323" s="110"/>
      <c r="H323" s="110"/>
      <c r="I323" s="110"/>
      <c r="J323" s="110"/>
    </row>
    <row r="324" spans="1:10" ht="12.75">
      <c r="A324" s="179" t="s">
        <v>347</v>
      </c>
      <c r="B324" s="180"/>
      <c r="C324" s="180"/>
      <c r="D324" s="180"/>
      <c r="E324" s="180"/>
      <c r="F324" s="180"/>
      <c r="G324" s="180"/>
      <c r="H324" s="180"/>
      <c r="I324" s="180"/>
      <c r="J324" s="180"/>
    </row>
    <row r="325" spans="4:10" ht="12.75">
      <c r="D325" s="110"/>
      <c r="E325" s="110"/>
      <c r="F325" s="110"/>
      <c r="G325" s="110"/>
      <c r="H325" s="110"/>
      <c r="I325" s="110"/>
      <c r="J325" s="110"/>
    </row>
    <row r="326" spans="4:10" ht="12.75">
      <c r="D326" s="110"/>
      <c r="E326" s="110"/>
      <c r="F326" s="110"/>
      <c r="G326" s="110"/>
      <c r="H326" s="110"/>
      <c r="I326" s="110"/>
      <c r="J326" s="110"/>
    </row>
    <row r="327" spans="4:10" ht="12.75">
      <c r="D327" s="110"/>
      <c r="E327" s="110"/>
      <c r="F327" s="110"/>
      <c r="G327" s="110"/>
      <c r="H327" s="110"/>
      <c r="I327" s="110"/>
      <c r="J327" s="110"/>
    </row>
    <row r="328" spans="4:10" ht="12.75">
      <c r="D328" s="110"/>
      <c r="E328" s="110"/>
      <c r="F328" s="110"/>
      <c r="G328" s="110"/>
      <c r="H328" s="110"/>
      <c r="I328" s="110"/>
      <c r="J328" s="110"/>
    </row>
    <row r="329" spans="4:10" ht="12.75">
      <c r="D329" s="111"/>
      <c r="E329" s="110"/>
      <c r="F329" s="110"/>
      <c r="G329" s="110"/>
      <c r="H329" s="110"/>
      <c r="I329" s="110"/>
      <c r="J329" s="110"/>
    </row>
    <row r="330" spans="4:10" ht="12.75">
      <c r="D330" s="110"/>
      <c r="E330" s="110"/>
      <c r="F330" s="110"/>
      <c r="G330" s="110"/>
      <c r="H330" s="110"/>
      <c r="I330" s="110"/>
      <c r="J330" s="110"/>
    </row>
    <row r="331" spans="4:10" ht="12.75">
      <c r="D331" s="110"/>
      <c r="E331" s="110"/>
      <c r="F331" s="110"/>
      <c r="G331" s="110"/>
      <c r="H331" s="110"/>
      <c r="I331" s="110"/>
      <c r="J331" s="110"/>
    </row>
    <row r="332" spans="4:10" ht="12.75">
      <c r="D332" s="110"/>
      <c r="E332" s="110"/>
      <c r="F332" s="110"/>
      <c r="G332" s="110"/>
      <c r="H332" s="110"/>
      <c r="I332" s="110"/>
      <c r="J332" s="110"/>
    </row>
    <row r="333" spans="4:10" ht="12.75">
      <c r="D333" s="110"/>
      <c r="E333" s="110"/>
      <c r="F333" s="110"/>
      <c r="G333" s="110"/>
      <c r="H333" s="110"/>
      <c r="I333" s="110"/>
      <c r="J333" s="110"/>
    </row>
    <row r="334" spans="4:10" ht="12.75">
      <c r="D334" s="110"/>
      <c r="E334" s="110"/>
      <c r="F334" s="110"/>
      <c r="G334" s="110"/>
      <c r="H334" s="110"/>
      <c r="I334" s="110"/>
      <c r="J334" s="110"/>
    </row>
    <row r="335" spans="4:10" ht="12.75">
      <c r="D335" s="110"/>
      <c r="E335" s="110"/>
      <c r="F335" s="110"/>
      <c r="G335" s="110"/>
      <c r="H335" s="110"/>
      <c r="I335" s="110"/>
      <c r="J335" s="110"/>
    </row>
    <row r="336" spans="4:10" ht="12.75">
      <c r="D336" s="110"/>
      <c r="E336" s="110"/>
      <c r="F336" s="110"/>
      <c r="G336" s="110"/>
      <c r="H336" s="110"/>
      <c r="I336" s="110"/>
      <c r="J336" s="110"/>
    </row>
    <row r="337" spans="4:10" ht="12.75">
      <c r="D337" s="110"/>
      <c r="E337" s="110"/>
      <c r="F337" s="110"/>
      <c r="G337" s="110"/>
      <c r="H337" s="110"/>
      <c r="I337" s="110"/>
      <c r="J337" s="110"/>
    </row>
    <row r="338" spans="4:10" ht="12.75">
      <c r="D338" s="110"/>
      <c r="E338" s="110"/>
      <c r="F338" s="110"/>
      <c r="G338" s="110"/>
      <c r="H338" s="110"/>
      <c r="I338" s="110"/>
      <c r="J338" s="110"/>
    </row>
    <row r="339" spans="4:10" ht="12.75">
      <c r="D339" s="110"/>
      <c r="E339" s="110"/>
      <c r="F339" s="110"/>
      <c r="G339" s="110"/>
      <c r="H339" s="110"/>
      <c r="I339" s="110"/>
      <c r="J339" s="110"/>
    </row>
    <row r="340" spans="4:10" ht="12.75">
      <c r="D340" s="110"/>
      <c r="E340" s="110"/>
      <c r="F340" s="110"/>
      <c r="G340" s="110"/>
      <c r="H340" s="110"/>
      <c r="I340" s="110"/>
      <c r="J340" s="110"/>
    </row>
    <row r="341" spans="4:10" ht="12.75">
      <c r="D341" s="110"/>
      <c r="E341" s="110"/>
      <c r="F341" s="110"/>
      <c r="G341" s="110"/>
      <c r="H341" s="110"/>
      <c r="I341" s="110"/>
      <c r="J341" s="110"/>
    </row>
    <row r="342" spans="4:10" ht="12.75">
      <c r="D342" s="110"/>
      <c r="E342" s="110"/>
      <c r="F342" s="110"/>
      <c r="G342" s="110"/>
      <c r="H342" s="110"/>
      <c r="I342" s="110"/>
      <c r="J342" s="110"/>
    </row>
    <row r="343" spans="4:10" ht="12.75">
      <c r="D343" s="110"/>
      <c r="E343" s="110"/>
      <c r="F343" s="110"/>
      <c r="G343" s="110"/>
      <c r="H343" s="110"/>
      <c r="I343" s="110"/>
      <c r="J343" s="110"/>
    </row>
    <row r="344" spans="4:10" ht="12.75">
      <c r="D344" s="110"/>
      <c r="E344" s="110"/>
      <c r="F344" s="110"/>
      <c r="G344" s="110"/>
      <c r="H344" s="110"/>
      <c r="I344" s="110"/>
      <c r="J344" s="110"/>
    </row>
    <row r="345" spans="4:10" ht="12.75">
      <c r="D345" s="110"/>
      <c r="E345" s="110"/>
      <c r="F345" s="110"/>
      <c r="G345" s="110"/>
      <c r="H345" s="110"/>
      <c r="I345" s="110"/>
      <c r="J345" s="110"/>
    </row>
    <row r="346" spans="4:10" ht="12.75">
      <c r="D346" s="110"/>
      <c r="E346" s="110"/>
      <c r="F346" s="110"/>
      <c r="G346" s="110"/>
      <c r="H346" s="110"/>
      <c r="I346" s="110"/>
      <c r="J346" s="110"/>
    </row>
    <row r="347" spans="4:10" ht="12.75">
      <c r="D347" s="110"/>
      <c r="E347" s="110"/>
      <c r="F347" s="110"/>
      <c r="G347" s="110"/>
      <c r="H347" s="110"/>
      <c r="I347" s="110"/>
      <c r="J347" s="110"/>
    </row>
    <row r="348" spans="4:10" ht="12.75">
      <c r="D348" s="110"/>
      <c r="E348" s="110"/>
      <c r="F348" s="110"/>
      <c r="G348" s="110"/>
      <c r="H348" s="110"/>
      <c r="I348" s="110"/>
      <c r="J348" s="110"/>
    </row>
    <row r="349" spans="4:10" ht="12.75">
      <c r="D349" s="110"/>
      <c r="E349" s="110"/>
      <c r="F349" s="110"/>
      <c r="G349" s="110"/>
      <c r="H349" s="110"/>
      <c r="I349" s="110"/>
      <c r="J349" s="110"/>
    </row>
    <row r="350" spans="4:10" ht="12.75">
      <c r="D350" s="110"/>
      <c r="E350" s="110"/>
      <c r="F350" s="110"/>
      <c r="G350" s="110"/>
      <c r="H350" s="110"/>
      <c r="I350" s="110"/>
      <c r="J350" s="110"/>
    </row>
    <row r="351" spans="4:10" ht="12.75">
      <c r="D351" s="110"/>
      <c r="E351" s="110"/>
      <c r="F351" s="110"/>
      <c r="G351" s="110"/>
      <c r="H351" s="110"/>
      <c r="I351" s="110"/>
      <c r="J351" s="110"/>
    </row>
    <row r="352" spans="4:10" ht="12.75">
      <c r="D352" s="110"/>
      <c r="E352" s="110"/>
      <c r="F352" s="110"/>
      <c r="G352" s="110"/>
      <c r="H352" s="110"/>
      <c r="I352" s="110"/>
      <c r="J352" s="110"/>
    </row>
    <row r="353" spans="4:10" ht="12.75">
      <c r="D353" s="110"/>
      <c r="E353" s="110"/>
      <c r="F353" s="110"/>
      <c r="G353" s="110"/>
      <c r="H353" s="110"/>
      <c r="I353" s="110"/>
      <c r="J353" s="110"/>
    </row>
    <row r="354" spans="4:10" ht="12.75">
      <c r="D354" s="110"/>
      <c r="E354" s="110"/>
      <c r="F354" s="110"/>
      <c r="G354" s="110"/>
      <c r="H354" s="110"/>
      <c r="I354" s="110"/>
      <c r="J354" s="110"/>
    </row>
    <row r="355" spans="4:10" ht="12.75">
      <c r="D355" s="110"/>
      <c r="E355" s="110"/>
      <c r="F355" s="110"/>
      <c r="G355" s="110"/>
      <c r="H355" s="110"/>
      <c r="I355" s="110"/>
      <c r="J355" s="110"/>
    </row>
    <row r="356" spans="4:10" ht="12.75">
      <c r="D356" s="110"/>
      <c r="E356" s="110"/>
      <c r="F356" s="110"/>
      <c r="G356" s="110"/>
      <c r="H356" s="110"/>
      <c r="I356" s="110"/>
      <c r="J356" s="110"/>
    </row>
    <row r="357" spans="4:10" ht="12.75">
      <c r="D357" s="110"/>
      <c r="E357" s="110"/>
      <c r="F357" s="110"/>
      <c r="G357" s="110"/>
      <c r="H357" s="110"/>
      <c r="I357" s="110"/>
      <c r="J357" s="110"/>
    </row>
    <row r="358" spans="4:10" ht="12.75">
      <c r="D358" s="110"/>
      <c r="E358" s="110"/>
      <c r="F358" s="110"/>
      <c r="G358" s="110"/>
      <c r="H358" s="110"/>
      <c r="I358" s="110"/>
      <c r="J358" s="110"/>
    </row>
    <row r="359" spans="4:10" ht="12.75">
      <c r="D359" s="110"/>
      <c r="E359" s="110"/>
      <c r="F359" s="110"/>
      <c r="G359" s="110"/>
      <c r="H359" s="110"/>
      <c r="I359" s="110"/>
      <c r="J359" s="110"/>
    </row>
    <row r="360" spans="4:10" ht="12.75">
      <c r="D360" s="110"/>
      <c r="E360" s="110"/>
      <c r="F360" s="110"/>
      <c r="G360" s="110"/>
      <c r="H360" s="110"/>
      <c r="I360" s="110"/>
      <c r="J360" s="110"/>
    </row>
    <row r="361" spans="4:10" ht="12.75">
      <c r="D361" s="110"/>
      <c r="E361" s="110"/>
      <c r="F361" s="110"/>
      <c r="G361" s="110"/>
      <c r="H361" s="110"/>
      <c r="I361" s="110"/>
      <c r="J361" s="110"/>
    </row>
    <row r="362" spans="4:10" ht="12.75">
      <c r="D362" s="110"/>
      <c r="E362" s="110"/>
      <c r="F362" s="110"/>
      <c r="G362" s="110"/>
      <c r="H362" s="110"/>
      <c r="I362" s="110"/>
      <c r="J362" s="110"/>
    </row>
    <row r="363" spans="4:10" ht="12.75">
      <c r="D363" s="110"/>
      <c r="E363" s="110"/>
      <c r="F363" s="110"/>
      <c r="G363" s="110"/>
      <c r="H363" s="110"/>
      <c r="I363" s="110"/>
      <c r="J363" s="110"/>
    </row>
    <row r="364" spans="4:10" ht="12.75">
      <c r="D364" s="110"/>
      <c r="E364" s="110"/>
      <c r="F364" s="110"/>
      <c r="G364" s="110"/>
      <c r="H364" s="110"/>
      <c r="I364" s="110"/>
      <c r="J364" s="110"/>
    </row>
    <row r="365" spans="4:10" ht="12.75">
      <c r="D365" s="110"/>
      <c r="E365" s="110"/>
      <c r="F365" s="110"/>
      <c r="G365" s="110"/>
      <c r="H365" s="110"/>
      <c r="I365" s="110"/>
      <c r="J365" s="110"/>
    </row>
    <row r="366" spans="4:10" ht="12.75">
      <c r="D366" s="110"/>
      <c r="E366" s="110"/>
      <c r="F366" s="110"/>
      <c r="G366" s="110"/>
      <c r="H366" s="110"/>
      <c r="I366" s="110"/>
      <c r="J366" s="110"/>
    </row>
    <row r="367" spans="4:10" ht="12.75">
      <c r="D367" s="110"/>
      <c r="E367" s="110"/>
      <c r="F367" s="110"/>
      <c r="G367" s="110"/>
      <c r="H367" s="110"/>
      <c r="I367" s="110"/>
      <c r="J367" s="110"/>
    </row>
    <row r="368" spans="4:10" ht="12.75">
      <c r="D368" s="110"/>
      <c r="E368" s="110"/>
      <c r="F368" s="110"/>
      <c r="G368" s="110"/>
      <c r="H368" s="110"/>
      <c r="I368" s="110"/>
      <c r="J368" s="110"/>
    </row>
    <row r="369" spans="4:10" ht="12.75">
      <c r="D369" s="110"/>
      <c r="E369" s="110"/>
      <c r="F369" s="110"/>
      <c r="G369" s="110"/>
      <c r="H369" s="110"/>
      <c r="I369" s="110"/>
      <c r="J369" s="110"/>
    </row>
    <row r="370" spans="4:10" ht="12.75">
      <c r="D370" s="110"/>
      <c r="E370" s="110"/>
      <c r="F370" s="110"/>
      <c r="G370" s="110"/>
      <c r="H370" s="110"/>
      <c r="I370" s="110"/>
      <c r="J370" s="110"/>
    </row>
    <row r="371" spans="4:10" ht="12.75">
      <c r="D371" s="110"/>
      <c r="E371" s="110"/>
      <c r="F371" s="110"/>
      <c r="G371" s="110"/>
      <c r="H371" s="110"/>
      <c r="I371" s="110"/>
      <c r="J371" s="110"/>
    </row>
    <row r="372" spans="4:10" ht="12.75">
      <c r="D372" s="110"/>
      <c r="E372" s="110"/>
      <c r="F372" s="110"/>
      <c r="G372" s="110"/>
      <c r="H372" s="110"/>
      <c r="I372" s="110"/>
      <c r="J372" s="110"/>
    </row>
    <row r="373" spans="4:10" ht="12.75">
      <c r="D373" s="110"/>
      <c r="E373" s="110"/>
      <c r="F373" s="110"/>
      <c r="G373" s="110"/>
      <c r="H373" s="110"/>
      <c r="I373" s="110"/>
      <c r="J373" s="110"/>
    </row>
    <row r="374" spans="4:10" ht="12.75">
      <c r="D374" s="110"/>
      <c r="E374" s="110"/>
      <c r="F374" s="110"/>
      <c r="G374" s="110"/>
      <c r="H374" s="110"/>
      <c r="I374" s="110"/>
      <c r="J374" s="110"/>
    </row>
    <row r="375" spans="4:10" ht="12.75">
      <c r="D375" s="110"/>
      <c r="E375" s="110"/>
      <c r="F375" s="110"/>
      <c r="G375" s="110"/>
      <c r="H375" s="110"/>
      <c r="I375" s="110"/>
      <c r="J375" s="110"/>
    </row>
    <row r="376" spans="4:10" ht="12.75">
      <c r="D376" s="110"/>
      <c r="E376" s="110"/>
      <c r="F376" s="110"/>
      <c r="G376" s="110"/>
      <c r="H376" s="110"/>
      <c r="I376" s="110"/>
      <c r="J376" s="110"/>
    </row>
    <row r="377" spans="4:10" ht="12.75">
      <c r="D377" s="110"/>
      <c r="E377" s="110"/>
      <c r="F377" s="110"/>
      <c r="G377" s="110"/>
      <c r="H377" s="110"/>
      <c r="I377" s="110"/>
      <c r="J377" s="110"/>
    </row>
    <row r="378" spans="4:10" ht="12.75">
      <c r="D378" s="110"/>
      <c r="E378" s="110"/>
      <c r="F378" s="110"/>
      <c r="G378" s="110"/>
      <c r="H378" s="110"/>
      <c r="I378" s="110"/>
      <c r="J378" s="110"/>
    </row>
    <row r="379" spans="4:10" ht="12.75">
      <c r="D379" s="110"/>
      <c r="E379" s="110"/>
      <c r="F379" s="110"/>
      <c r="G379" s="110"/>
      <c r="H379" s="110"/>
      <c r="I379" s="110"/>
      <c r="J379" s="110"/>
    </row>
    <row r="380" spans="4:10" ht="12.75">
      <c r="D380" s="110"/>
      <c r="E380" s="110"/>
      <c r="F380" s="110"/>
      <c r="G380" s="110"/>
      <c r="H380" s="110"/>
      <c r="I380" s="110"/>
      <c r="J380" s="110"/>
    </row>
    <row r="381" spans="4:10" ht="12.75">
      <c r="D381" s="110"/>
      <c r="E381" s="110"/>
      <c r="F381" s="110"/>
      <c r="G381" s="110"/>
      <c r="H381" s="110"/>
      <c r="I381" s="110"/>
      <c r="J381" s="110"/>
    </row>
    <row r="382" spans="4:10" ht="12.75">
      <c r="D382" s="110"/>
      <c r="E382" s="110"/>
      <c r="F382" s="110"/>
      <c r="G382" s="110"/>
      <c r="H382" s="110"/>
      <c r="I382" s="110"/>
      <c r="J382" s="110"/>
    </row>
    <row r="383" spans="4:10" ht="12.75">
      <c r="D383" s="110"/>
      <c r="E383" s="110"/>
      <c r="F383" s="110"/>
      <c r="G383" s="110"/>
      <c r="H383" s="110"/>
      <c r="I383" s="110"/>
      <c r="J383" s="110"/>
    </row>
    <row r="384" spans="4:10" ht="12.75">
      <c r="D384" s="110"/>
      <c r="E384" s="110"/>
      <c r="F384" s="110"/>
      <c r="G384" s="110"/>
      <c r="H384" s="110"/>
      <c r="I384" s="110"/>
      <c r="J384" s="110"/>
    </row>
    <row r="385" spans="4:10" ht="12.75">
      <c r="D385" s="110"/>
      <c r="E385" s="110"/>
      <c r="F385" s="110"/>
      <c r="G385" s="110"/>
      <c r="H385" s="110"/>
      <c r="I385" s="110"/>
      <c r="J385" s="110"/>
    </row>
    <row r="386" spans="4:10" ht="12.75">
      <c r="D386" s="110"/>
      <c r="E386" s="110"/>
      <c r="F386" s="110"/>
      <c r="G386" s="110"/>
      <c r="H386" s="110"/>
      <c r="I386" s="110"/>
      <c r="J386" s="110"/>
    </row>
    <row r="387" spans="4:10" ht="12.75">
      <c r="D387" s="110"/>
      <c r="E387" s="110"/>
      <c r="F387" s="110"/>
      <c r="G387" s="110"/>
      <c r="H387" s="110"/>
      <c r="I387" s="110"/>
      <c r="J387" s="110"/>
    </row>
    <row r="388" spans="4:10" ht="12.75">
      <c r="D388" s="110"/>
      <c r="E388" s="110"/>
      <c r="F388" s="110"/>
      <c r="G388" s="110"/>
      <c r="H388" s="110"/>
      <c r="I388" s="110"/>
      <c r="J388" s="110"/>
    </row>
    <row r="389" spans="4:10" ht="12.75">
      <c r="D389" s="110"/>
      <c r="E389" s="110"/>
      <c r="F389" s="110"/>
      <c r="G389" s="110"/>
      <c r="H389" s="110"/>
      <c r="I389" s="110"/>
      <c r="J389" s="110"/>
    </row>
    <row r="390" spans="4:10" ht="12.75">
      <c r="D390" s="110"/>
      <c r="E390" s="110"/>
      <c r="F390" s="110"/>
      <c r="G390" s="110"/>
      <c r="H390" s="110"/>
      <c r="I390" s="110"/>
      <c r="J390" s="110"/>
    </row>
    <row r="391" spans="4:10" ht="12.75">
      <c r="D391" s="110"/>
      <c r="E391" s="110"/>
      <c r="F391" s="110"/>
      <c r="G391" s="110"/>
      <c r="H391" s="110"/>
      <c r="I391" s="110"/>
      <c r="J391" s="110"/>
    </row>
    <row r="392" spans="4:10" ht="12.75">
      <c r="D392" s="110"/>
      <c r="E392" s="110"/>
      <c r="F392" s="110"/>
      <c r="G392" s="110"/>
      <c r="H392" s="110"/>
      <c r="I392" s="110"/>
      <c r="J392" s="110"/>
    </row>
    <row r="393" spans="4:10" ht="12.75">
      <c r="D393" s="110"/>
      <c r="E393" s="110"/>
      <c r="F393" s="110"/>
      <c r="G393" s="110"/>
      <c r="H393" s="110"/>
      <c r="I393" s="110"/>
      <c r="J393" s="110"/>
    </row>
    <row r="394" spans="4:10" ht="12.75">
      <c r="D394" s="110"/>
      <c r="E394" s="110"/>
      <c r="F394" s="110"/>
      <c r="G394" s="110"/>
      <c r="H394" s="110"/>
      <c r="I394" s="110"/>
      <c r="J394" s="110"/>
    </row>
    <row r="395" spans="4:10" ht="12.75">
      <c r="D395" s="110"/>
      <c r="E395" s="110"/>
      <c r="F395" s="110"/>
      <c r="G395" s="110"/>
      <c r="H395" s="110"/>
      <c r="I395" s="110"/>
      <c r="J395" s="110"/>
    </row>
    <row r="396" spans="4:10" ht="12.75">
      <c r="D396" s="110"/>
      <c r="E396" s="110"/>
      <c r="F396" s="110"/>
      <c r="G396" s="110"/>
      <c r="H396" s="110"/>
      <c r="I396" s="110"/>
      <c r="J396" s="110"/>
    </row>
    <row r="397" spans="4:10" ht="12.75">
      <c r="D397" s="110"/>
      <c r="E397" s="110"/>
      <c r="F397" s="110"/>
      <c r="G397" s="110"/>
      <c r="H397" s="110"/>
      <c r="I397" s="110"/>
      <c r="J397" s="110"/>
    </row>
    <row r="398" spans="4:10" ht="12.75">
      <c r="D398" s="110"/>
      <c r="E398" s="110"/>
      <c r="F398" s="110"/>
      <c r="G398" s="110"/>
      <c r="H398" s="110"/>
      <c r="I398" s="110"/>
      <c r="J398" s="110"/>
    </row>
    <row r="399" spans="4:10" ht="12.75">
      <c r="D399" s="110"/>
      <c r="E399" s="110"/>
      <c r="F399" s="110"/>
      <c r="G399" s="110"/>
      <c r="H399" s="110"/>
      <c r="I399" s="110"/>
      <c r="J399" s="110"/>
    </row>
  </sheetData>
  <sheetProtection/>
  <mergeCells count="12">
    <mergeCell ref="H1:J1"/>
    <mergeCell ref="J5:J6"/>
    <mergeCell ref="I2:J2"/>
    <mergeCell ref="F5:H5"/>
    <mergeCell ref="I5:I6"/>
    <mergeCell ref="A3:J3"/>
    <mergeCell ref="A324:J324"/>
    <mergeCell ref="A5:A6"/>
    <mergeCell ref="B5:B6"/>
    <mergeCell ref="C5:C6"/>
    <mergeCell ref="D5:D6"/>
    <mergeCell ref="E5:E6"/>
  </mergeCells>
  <printOptions/>
  <pageMargins left="0" right="0" top="0.7874015748031497" bottom="0.3937007874015748" header="0.31496062992125984" footer="0.1968503937007874"/>
  <pageSetup fitToHeight="10" fitToWidth="1" horizontalDpi="600" verticalDpi="600" orientation="landscape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view="pageBreakPreview" zoomScale="75" zoomScaleSheetLayoutView="75" zoomScalePageLayoutView="0" workbookViewId="0" topLeftCell="A282">
      <selection activeCell="D11" sqref="D11"/>
    </sheetView>
  </sheetViews>
  <sheetFormatPr defaultColWidth="9.00390625" defaultRowHeight="12.75"/>
  <cols>
    <col min="1" max="1" width="5.375" style="75" customWidth="1"/>
    <col min="2" max="2" width="55.125" style="120" customWidth="1"/>
    <col min="3" max="3" width="21.375" style="75" customWidth="1"/>
    <col min="4" max="4" width="11.25390625" style="75" customWidth="1"/>
    <col min="5" max="5" width="15.00390625" style="75" customWidth="1"/>
    <col min="6" max="6" width="11.25390625" style="75" customWidth="1"/>
    <col min="7" max="7" width="15.00390625" style="75" customWidth="1"/>
    <col min="8" max="8" width="13.125" style="75" customWidth="1"/>
    <col min="9" max="10" width="12.375" style="75" customWidth="1"/>
    <col min="11" max="11" width="0" style="75" hidden="1" customWidth="1"/>
    <col min="12" max="16384" width="9.125" style="75" customWidth="1"/>
  </cols>
  <sheetData>
    <row r="1" spans="7:11" ht="12.75">
      <c r="G1" s="185" t="s">
        <v>315</v>
      </c>
      <c r="H1" s="185"/>
      <c r="I1" s="185"/>
      <c r="J1" s="185"/>
      <c r="K1" s="185"/>
    </row>
    <row r="2" spans="7:11" ht="46.5" customHeight="1">
      <c r="G2" s="184" t="s">
        <v>348</v>
      </c>
      <c r="H2" s="184"/>
      <c r="I2" s="184"/>
      <c r="J2" s="184"/>
      <c r="K2" s="184"/>
    </row>
    <row r="3" spans="1:11" ht="44.25" customHeight="1">
      <c r="A3" s="190" t="s">
        <v>350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ht="12.75">
      <c r="J4" s="95" t="s">
        <v>262</v>
      </c>
    </row>
    <row r="5" spans="1:11" ht="12.75" customHeight="1">
      <c r="A5" s="176"/>
      <c r="B5" s="177" t="s">
        <v>263</v>
      </c>
      <c r="C5" s="181" t="s">
        <v>264</v>
      </c>
      <c r="D5" s="181" t="s">
        <v>336</v>
      </c>
      <c r="E5" s="182" t="s">
        <v>337</v>
      </c>
      <c r="F5" s="186" t="s">
        <v>335</v>
      </c>
      <c r="G5" s="186"/>
      <c r="H5" s="186"/>
      <c r="I5" s="182" t="s">
        <v>265</v>
      </c>
      <c r="J5" s="182" t="s">
        <v>349</v>
      </c>
      <c r="K5" s="188" t="s">
        <v>266</v>
      </c>
    </row>
    <row r="6" spans="1:11" ht="66" customHeight="1">
      <c r="A6" s="176"/>
      <c r="B6" s="178"/>
      <c r="C6" s="181"/>
      <c r="D6" s="181"/>
      <c r="E6" s="183"/>
      <c r="F6" s="119" t="s">
        <v>267</v>
      </c>
      <c r="G6" s="119" t="s">
        <v>268</v>
      </c>
      <c r="H6" s="119" t="s">
        <v>269</v>
      </c>
      <c r="I6" s="183"/>
      <c r="J6" s="183"/>
      <c r="K6" s="189"/>
    </row>
    <row r="7" spans="1:11" ht="12.75">
      <c r="A7" s="5"/>
      <c r="B7" s="121" t="s">
        <v>255</v>
      </c>
      <c r="C7" s="96">
        <f>C9+C10+C11+C12+C13+C14</f>
        <v>16577812.077</v>
      </c>
      <c r="D7" s="96">
        <f>D9+D10+D11+D12+D13+D14</f>
        <v>492528.91699999996</v>
      </c>
      <c r="E7" s="96">
        <f aca="true" t="shared" si="0" ref="E7:J7">E9+E10+E11+E12+E13+E14</f>
        <v>6663172.4</v>
      </c>
      <c r="F7" s="96">
        <f t="shared" si="0"/>
        <v>30000</v>
      </c>
      <c r="G7" s="96">
        <f t="shared" si="0"/>
        <v>1035000</v>
      </c>
      <c r="H7" s="96">
        <f t="shared" si="0"/>
        <v>5598172.4</v>
      </c>
      <c r="I7" s="96">
        <f t="shared" si="0"/>
        <v>530391.66</v>
      </c>
      <c r="J7" s="96">
        <f t="shared" si="0"/>
        <v>8891719.1</v>
      </c>
      <c r="K7" s="96">
        <f>K15+K37+K290+K237</f>
        <v>0</v>
      </c>
    </row>
    <row r="8" spans="1:11" ht="12.75">
      <c r="A8" s="5"/>
      <c r="B8" s="121" t="s">
        <v>323</v>
      </c>
      <c r="C8" s="96"/>
      <c r="D8" s="96"/>
      <c r="E8" s="96"/>
      <c r="F8" s="96"/>
      <c r="G8" s="96"/>
      <c r="H8" s="96"/>
      <c r="I8" s="96"/>
      <c r="J8" s="96"/>
      <c r="K8" s="96"/>
    </row>
    <row r="9" spans="1:12" ht="12.75">
      <c r="A9" s="5"/>
      <c r="B9" s="121" t="s">
        <v>270</v>
      </c>
      <c r="C9" s="96">
        <f aca="true" t="shared" si="1" ref="C9:C14">D9+E9+I9+J9</f>
        <v>2715001.8170000003</v>
      </c>
      <c r="D9" s="96">
        <f>D17+D39+D239+D292</f>
        <v>67093.617</v>
      </c>
      <c r="E9" s="96">
        <f aca="true" t="shared" si="2" ref="D9:K13">E17+E39+E239+E292</f>
        <v>720785.8</v>
      </c>
      <c r="F9" s="96">
        <f t="shared" si="2"/>
        <v>15000</v>
      </c>
      <c r="G9" s="96">
        <f t="shared" si="2"/>
        <v>150000</v>
      </c>
      <c r="H9" s="96">
        <f t="shared" si="2"/>
        <v>555785.8</v>
      </c>
      <c r="I9" s="96">
        <f t="shared" si="2"/>
        <v>52103.3</v>
      </c>
      <c r="J9" s="96">
        <f t="shared" si="2"/>
        <v>1875019.1</v>
      </c>
      <c r="K9" s="96" t="e">
        <f t="shared" si="2"/>
        <v>#REF!</v>
      </c>
      <c r="L9" s="110"/>
    </row>
    <row r="10" spans="1:11" ht="12.75">
      <c r="A10" s="5"/>
      <c r="B10" s="121" t="s">
        <v>271</v>
      </c>
      <c r="C10" s="96">
        <f t="shared" si="1"/>
        <v>2763545.4</v>
      </c>
      <c r="D10" s="96">
        <f t="shared" si="2"/>
        <v>52786.5</v>
      </c>
      <c r="E10" s="96">
        <f t="shared" si="2"/>
        <v>736781.5</v>
      </c>
      <c r="F10" s="96">
        <f t="shared" si="2"/>
        <v>15000</v>
      </c>
      <c r="G10" s="96">
        <f t="shared" si="2"/>
        <v>150000</v>
      </c>
      <c r="H10" s="96">
        <f t="shared" si="2"/>
        <v>571781.5</v>
      </c>
      <c r="I10" s="96">
        <f t="shared" si="2"/>
        <v>55177.4</v>
      </c>
      <c r="J10" s="96">
        <f t="shared" si="2"/>
        <v>1918800</v>
      </c>
      <c r="K10" s="96" t="e">
        <f t="shared" si="2"/>
        <v>#REF!</v>
      </c>
    </row>
    <row r="11" spans="1:11" ht="12.75">
      <c r="A11" s="5"/>
      <c r="B11" s="121" t="s">
        <v>272</v>
      </c>
      <c r="C11" s="96">
        <f t="shared" si="1"/>
        <v>1669068.9</v>
      </c>
      <c r="D11" s="96">
        <f t="shared" si="2"/>
        <v>53067.4</v>
      </c>
      <c r="E11" s="96">
        <f t="shared" si="2"/>
        <v>725854.9</v>
      </c>
      <c r="F11" s="96">
        <f t="shared" si="2"/>
        <v>0</v>
      </c>
      <c r="G11" s="96">
        <f t="shared" si="2"/>
        <v>135000</v>
      </c>
      <c r="H11" s="96">
        <f t="shared" si="2"/>
        <v>590854.9</v>
      </c>
      <c r="I11" s="96">
        <f t="shared" si="2"/>
        <v>58046.6</v>
      </c>
      <c r="J11" s="96">
        <f t="shared" si="2"/>
        <v>832100</v>
      </c>
      <c r="K11" s="96" t="e">
        <f t="shared" si="2"/>
        <v>#REF!</v>
      </c>
    </row>
    <row r="12" spans="1:11" ht="12.75">
      <c r="A12" s="5"/>
      <c r="B12" s="121" t="s">
        <v>273</v>
      </c>
      <c r="C12" s="96">
        <f t="shared" si="1"/>
        <v>1533396.1</v>
      </c>
      <c r="D12" s="96">
        <f t="shared" si="2"/>
        <v>53370.8</v>
      </c>
      <c r="E12" s="96">
        <f t="shared" si="2"/>
        <v>684318.3</v>
      </c>
      <c r="F12" s="96">
        <f t="shared" si="2"/>
        <v>0</v>
      </c>
      <c r="G12" s="96">
        <f t="shared" si="2"/>
        <v>100000</v>
      </c>
      <c r="H12" s="96">
        <f t="shared" si="2"/>
        <v>584318.3</v>
      </c>
      <c r="I12" s="96">
        <f t="shared" si="2"/>
        <v>61007</v>
      </c>
      <c r="J12" s="96">
        <f t="shared" si="2"/>
        <v>734700</v>
      </c>
      <c r="K12" s="96" t="e">
        <f t="shared" si="2"/>
        <v>#REF!</v>
      </c>
    </row>
    <row r="13" spans="1:11" ht="12.75">
      <c r="A13" s="5"/>
      <c r="B13" s="121" t="s">
        <v>274</v>
      </c>
      <c r="C13" s="96">
        <f t="shared" si="1"/>
        <v>1577839.8599999999</v>
      </c>
      <c r="D13" s="96">
        <f t="shared" si="2"/>
        <v>53710.6</v>
      </c>
      <c r="E13" s="96">
        <f t="shared" si="2"/>
        <v>714771.8999999999</v>
      </c>
      <c r="F13" s="96">
        <f t="shared" si="2"/>
        <v>0</v>
      </c>
      <c r="G13" s="96">
        <f t="shared" si="2"/>
        <v>100000</v>
      </c>
      <c r="H13" s="96">
        <f t="shared" si="2"/>
        <v>614771.8999999999</v>
      </c>
      <c r="I13" s="96">
        <f t="shared" si="2"/>
        <v>64057.36</v>
      </c>
      <c r="J13" s="96">
        <f t="shared" si="2"/>
        <v>745300</v>
      </c>
      <c r="K13" s="96" t="e">
        <f t="shared" si="2"/>
        <v>#REF!</v>
      </c>
    </row>
    <row r="14" spans="1:11" ht="12.75">
      <c r="A14" s="5"/>
      <c r="B14" s="121" t="s">
        <v>324</v>
      </c>
      <c r="C14" s="96">
        <f t="shared" si="1"/>
        <v>6318960</v>
      </c>
      <c r="D14" s="96">
        <f aca="true" t="shared" si="3" ref="D14:J14">D22+D44+D244+D297</f>
        <v>212500</v>
      </c>
      <c r="E14" s="96">
        <f t="shared" si="3"/>
        <v>3080660</v>
      </c>
      <c r="F14" s="96">
        <f t="shared" si="3"/>
        <v>0</v>
      </c>
      <c r="G14" s="96">
        <f t="shared" si="3"/>
        <v>400000</v>
      </c>
      <c r="H14" s="96">
        <f t="shared" si="3"/>
        <v>2680660</v>
      </c>
      <c r="I14" s="96">
        <f t="shared" si="3"/>
        <v>240000</v>
      </c>
      <c r="J14" s="96">
        <f t="shared" si="3"/>
        <v>2785800</v>
      </c>
      <c r="K14" s="96"/>
    </row>
    <row r="15" spans="1:11" ht="30" customHeight="1">
      <c r="A15" s="5">
        <v>1</v>
      </c>
      <c r="B15" s="122" t="s">
        <v>275</v>
      </c>
      <c r="C15" s="97">
        <f>SUM(C17:C22)</f>
        <v>360000</v>
      </c>
      <c r="D15" s="97">
        <f aca="true" t="shared" si="4" ref="D15:K15">SUM(D17:D21)</f>
        <v>0</v>
      </c>
      <c r="E15" s="97">
        <f>SUM(E17:E22)</f>
        <v>360000</v>
      </c>
      <c r="F15" s="97">
        <f t="shared" si="4"/>
        <v>0</v>
      </c>
      <c r="G15" s="97">
        <f>SUM(G17:G22)</f>
        <v>270000</v>
      </c>
      <c r="H15" s="97">
        <f>SUM(H17:H22)</f>
        <v>90000</v>
      </c>
      <c r="I15" s="97">
        <f t="shared" si="4"/>
        <v>0</v>
      </c>
      <c r="J15" s="97">
        <f t="shared" si="4"/>
        <v>0</v>
      </c>
      <c r="K15" s="97">
        <f t="shared" si="4"/>
        <v>0</v>
      </c>
    </row>
    <row r="16" spans="1:11" ht="12.75">
      <c r="A16" s="5"/>
      <c r="B16" s="121" t="s">
        <v>323</v>
      </c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2.75">
      <c r="A17" s="5"/>
      <c r="B17" s="121" t="s">
        <v>270</v>
      </c>
      <c r="C17" s="96">
        <f aca="true" t="shared" si="5" ref="C17:C22">D17+E17+I17+J17</f>
        <v>75000</v>
      </c>
      <c r="D17" s="96">
        <f aca="true" t="shared" si="6" ref="D17:D22">D25+D31</f>
        <v>0</v>
      </c>
      <c r="E17" s="96">
        <f aca="true" t="shared" si="7" ref="E17:E22">F17+G17+H17</f>
        <v>75000</v>
      </c>
      <c r="F17" s="96">
        <f aca="true" t="shared" si="8" ref="F17:F22">F25+F31</f>
        <v>0</v>
      </c>
      <c r="G17" s="96">
        <f>G31</f>
        <v>30000</v>
      </c>
      <c r="H17" s="96">
        <f>H31</f>
        <v>45000</v>
      </c>
      <c r="I17" s="96">
        <f aca="true" t="shared" si="9" ref="I17:K21">I25+I31</f>
        <v>0</v>
      </c>
      <c r="J17" s="96">
        <f t="shared" si="9"/>
        <v>0</v>
      </c>
      <c r="K17" s="96">
        <f t="shared" si="9"/>
        <v>0</v>
      </c>
    </row>
    <row r="18" spans="1:11" ht="12.75">
      <c r="A18" s="5"/>
      <c r="B18" s="121" t="s">
        <v>271</v>
      </c>
      <c r="C18" s="96">
        <f t="shared" si="5"/>
        <v>60000</v>
      </c>
      <c r="D18" s="96">
        <f t="shared" si="6"/>
        <v>0</v>
      </c>
      <c r="E18" s="96">
        <f t="shared" si="7"/>
        <v>60000</v>
      </c>
      <c r="F18" s="96">
        <f t="shared" si="8"/>
        <v>0</v>
      </c>
      <c r="G18" s="96">
        <f aca="true" t="shared" si="10" ref="G18:H22">G32</f>
        <v>30000</v>
      </c>
      <c r="H18" s="96">
        <f t="shared" si="10"/>
        <v>30000</v>
      </c>
      <c r="I18" s="96">
        <f t="shared" si="9"/>
        <v>0</v>
      </c>
      <c r="J18" s="96">
        <f t="shared" si="9"/>
        <v>0</v>
      </c>
      <c r="K18" s="96">
        <f t="shared" si="9"/>
        <v>0</v>
      </c>
    </row>
    <row r="19" spans="1:11" ht="12.75">
      <c r="A19" s="5"/>
      <c r="B19" s="121" t="s">
        <v>272</v>
      </c>
      <c r="C19" s="96">
        <f t="shared" si="5"/>
        <v>45000</v>
      </c>
      <c r="D19" s="96">
        <f t="shared" si="6"/>
        <v>0</v>
      </c>
      <c r="E19" s="96">
        <f t="shared" si="7"/>
        <v>45000</v>
      </c>
      <c r="F19" s="96">
        <f t="shared" si="8"/>
        <v>0</v>
      </c>
      <c r="G19" s="96">
        <f t="shared" si="10"/>
        <v>30000</v>
      </c>
      <c r="H19" s="96">
        <f t="shared" si="10"/>
        <v>15000</v>
      </c>
      <c r="I19" s="96">
        <f t="shared" si="9"/>
        <v>0</v>
      </c>
      <c r="J19" s="96">
        <f t="shared" si="9"/>
        <v>0</v>
      </c>
      <c r="K19" s="96">
        <f t="shared" si="9"/>
        <v>0</v>
      </c>
    </row>
    <row r="20" spans="1:11" ht="12.75">
      <c r="A20" s="5"/>
      <c r="B20" s="121" t="s">
        <v>273</v>
      </c>
      <c r="C20" s="96">
        <f t="shared" si="5"/>
        <v>30000</v>
      </c>
      <c r="D20" s="96">
        <f t="shared" si="6"/>
        <v>0</v>
      </c>
      <c r="E20" s="96">
        <f t="shared" si="7"/>
        <v>30000</v>
      </c>
      <c r="F20" s="96">
        <f t="shared" si="8"/>
        <v>0</v>
      </c>
      <c r="G20" s="96">
        <f t="shared" si="10"/>
        <v>30000</v>
      </c>
      <c r="H20" s="96">
        <f t="shared" si="10"/>
        <v>0</v>
      </c>
      <c r="I20" s="96">
        <f t="shared" si="9"/>
        <v>0</v>
      </c>
      <c r="J20" s="96">
        <f t="shared" si="9"/>
        <v>0</v>
      </c>
      <c r="K20" s="96">
        <f t="shared" si="9"/>
        <v>0</v>
      </c>
    </row>
    <row r="21" spans="1:11" ht="12.75">
      <c r="A21" s="5"/>
      <c r="B21" s="121" t="s">
        <v>274</v>
      </c>
      <c r="C21" s="96">
        <f t="shared" si="5"/>
        <v>30000</v>
      </c>
      <c r="D21" s="96">
        <f t="shared" si="6"/>
        <v>0</v>
      </c>
      <c r="E21" s="96">
        <f t="shared" si="7"/>
        <v>30000</v>
      </c>
      <c r="F21" s="96">
        <f t="shared" si="8"/>
        <v>0</v>
      </c>
      <c r="G21" s="96">
        <f t="shared" si="10"/>
        <v>30000</v>
      </c>
      <c r="H21" s="96">
        <f t="shared" si="10"/>
        <v>0</v>
      </c>
      <c r="I21" s="96">
        <f t="shared" si="9"/>
        <v>0</v>
      </c>
      <c r="J21" s="96">
        <f t="shared" si="9"/>
        <v>0</v>
      </c>
      <c r="K21" s="96">
        <f t="shared" si="9"/>
        <v>0</v>
      </c>
    </row>
    <row r="22" spans="1:11" ht="12.75">
      <c r="A22" s="5"/>
      <c r="B22" s="121" t="s">
        <v>324</v>
      </c>
      <c r="C22" s="96">
        <f t="shared" si="5"/>
        <v>120000</v>
      </c>
      <c r="D22" s="96">
        <f t="shared" si="6"/>
        <v>0</v>
      </c>
      <c r="E22" s="96">
        <f t="shared" si="7"/>
        <v>120000</v>
      </c>
      <c r="F22" s="96">
        <f t="shared" si="8"/>
        <v>0</v>
      </c>
      <c r="G22" s="96">
        <f t="shared" si="10"/>
        <v>120000</v>
      </c>
      <c r="H22" s="96">
        <f t="shared" si="10"/>
        <v>0</v>
      </c>
      <c r="I22" s="96">
        <f>I30+I36</f>
        <v>0</v>
      </c>
      <c r="J22" s="96">
        <f>J30+J36</f>
        <v>0</v>
      </c>
      <c r="K22" s="96"/>
    </row>
    <row r="23" spans="1:11" ht="51">
      <c r="A23" s="5"/>
      <c r="B23" s="123" t="s">
        <v>338</v>
      </c>
      <c r="C23" s="54">
        <f aca="true" t="shared" si="11" ref="C23:J23">C30</f>
        <v>360000</v>
      </c>
      <c r="D23" s="54">
        <f t="shared" si="11"/>
        <v>0</v>
      </c>
      <c r="E23" s="54">
        <f t="shared" si="11"/>
        <v>360000</v>
      </c>
      <c r="F23" s="54">
        <f t="shared" si="11"/>
        <v>0</v>
      </c>
      <c r="G23" s="54">
        <f t="shared" si="11"/>
        <v>270000</v>
      </c>
      <c r="H23" s="54">
        <f t="shared" si="11"/>
        <v>90000</v>
      </c>
      <c r="I23" s="54">
        <f t="shared" si="11"/>
        <v>0</v>
      </c>
      <c r="J23" s="54">
        <f t="shared" si="11"/>
        <v>0</v>
      </c>
      <c r="K23" s="112"/>
    </row>
    <row r="24" spans="1:11" ht="38.25" hidden="1">
      <c r="A24" s="5"/>
      <c r="B24" s="123" t="s">
        <v>276</v>
      </c>
      <c r="C24" s="54" t="e">
        <f>D24+E24+I24+J24+#REF!+K24</f>
        <v>#REF!</v>
      </c>
      <c r="D24" s="54">
        <v>0</v>
      </c>
      <c r="E24" s="54">
        <f>SUM(E25:E29)</f>
        <v>0</v>
      </c>
      <c r="F24" s="54">
        <v>0</v>
      </c>
      <c r="G24" s="54">
        <f>SUM(G25:G29)</f>
        <v>0</v>
      </c>
      <c r="H24" s="54">
        <f>SUM(H25:H29)</f>
        <v>0</v>
      </c>
      <c r="I24" s="54">
        <v>0</v>
      </c>
      <c r="J24" s="54">
        <v>0</v>
      </c>
      <c r="K24" s="54">
        <v>0</v>
      </c>
    </row>
    <row r="25" spans="1:11" ht="12.75" hidden="1">
      <c r="A25" s="5"/>
      <c r="B25" s="124">
        <v>2012</v>
      </c>
      <c r="C25" s="54" t="e">
        <f>D25+E25+I25+J25+#REF!+K25</f>
        <v>#REF!</v>
      </c>
      <c r="D25" s="54">
        <v>0</v>
      </c>
      <c r="E25" s="54">
        <f>F25+G25+H25</f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ht="12.75" hidden="1">
      <c r="A26" s="5"/>
      <c r="B26" s="124">
        <v>2013</v>
      </c>
      <c r="C26" s="54" t="e">
        <f>D26+E26+I26+J26+#REF!+K26</f>
        <v>#REF!</v>
      </c>
      <c r="D26" s="54">
        <v>0</v>
      </c>
      <c r="E26" s="54">
        <f>F26+G26+H26</f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ht="12.75" hidden="1">
      <c r="A27" s="5"/>
      <c r="B27" s="124">
        <v>2014</v>
      </c>
      <c r="C27" s="54" t="e">
        <f>D27+E27+I27+J27+#REF!+K27</f>
        <v>#REF!</v>
      </c>
      <c r="D27" s="54">
        <v>0</v>
      </c>
      <c r="E27" s="54">
        <f>F27+G27+H27</f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ht="12.75" hidden="1">
      <c r="A28" s="5"/>
      <c r="B28" s="124">
        <v>2015</v>
      </c>
      <c r="C28" s="54" t="e">
        <f>D28+E28+I28+J28+#REF!+K28</f>
        <v>#REF!</v>
      </c>
      <c r="D28" s="54">
        <v>0</v>
      </c>
      <c r="E28" s="54">
        <f>F28+G28+H28</f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ht="12.75" hidden="1">
      <c r="A29" s="5"/>
      <c r="B29" s="124">
        <v>2016</v>
      </c>
      <c r="C29" s="54" t="e">
        <f>D29+E29+I29+J29+#REF!+K29</f>
        <v>#REF!</v>
      </c>
      <c r="D29" s="54">
        <v>0</v>
      </c>
      <c r="E29" s="54">
        <f>F29+G29+H29</f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s="113" customFormat="1" ht="25.5">
      <c r="A30" s="5"/>
      <c r="B30" s="128" t="s">
        <v>320</v>
      </c>
      <c r="C30" s="55">
        <f>D30+E30+I30+J30</f>
        <v>360000</v>
      </c>
      <c r="D30" s="55">
        <v>0</v>
      </c>
      <c r="E30" s="55">
        <f aca="true" t="shared" si="12" ref="E30:E35">F30+G30+H30</f>
        <v>360000</v>
      </c>
      <c r="F30" s="55">
        <f>SUM(F31:F35)</f>
        <v>0</v>
      </c>
      <c r="G30" s="55">
        <f>SUM(G31:G36)</f>
        <v>270000</v>
      </c>
      <c r="H30" s="55">
        <f>SUM(H31:H35)</f>
        <v>90000</v>
      </c>
      <c r="I30" s="55">
        <v>0</v>
      </c>
      <c r="J30" s="55">
        <v>0</v>
      </c>
      <c r="K30" s="55">
        <v>0</v>
      </c>
    </row>
    <row r="31" spans="1:11" s="113" customFormat="1" ht="12.75">
      <c r="A31" s="5"/>
      <c r="B31" s="129">
        <v>2012</v>
      </c>
      <c r="C31" s="55">
        <f aca="true" t="shared" si="13" ref="C31:C36">D31+E31+I31+J31</f>
        <v>75000</v>
      </c>
      <c r="D31" s="55">
        <v>0</v>
      </c>
      <c r="E31" s="55">
        <f t="shared" si="12"/>
        <v>75000</v>
      </c>
      <c r="F31" s="55">
        <v>0</v>
      </c>
      <c r="G31" s="55">
        <v>30000</v>
      </c>
      <c r="H31" s="55">
        <v>45000</v>
      </c>
      <c r="I31" s="55">
        <v>0</v>
      </c>
      <c r="J31" s="55">
        <v>0</v>
      </c>
      <c r="K31" s="55">
        <v>0</v>
      </c>
    </row>
    <row r="32" spans="1:11" s="113" customFormat="1" ht="12.75">
      <c r="A32" s="5"/>
      <c r="B32" s="129">
        <v>2013</v>
      </c>
      <c r="C32" s="55">
        <f t="shared" si="13"/>
        <v>60000</v>
      </c>
      <c r="D32" s="55">
        <v>0</v>
      </c>
      <c r="E32" s="55">
        <f t="shared" si="12"/>
        <v>60000</v>
      </c>
      <c r="F32" s="55">
        <v>0</v>
      </c>
      <c r="G32" s="55">
        <v>30000</v>
      </c>
      <c r="H32" s="55">
        <v>30000</v>
      </c>
      <c r="I32" s="55">
        <v>0</v>
      </c>
      <c r="J32" s="55">
        <v>0</v>
      </c>
      <c r="K32" s="55">
        <v>0</v>
      </c>
    </row>
    <row r="33" spans="1:11" s="113" customFormat="1" ht="12.75">
      <c r="A33" s="5"/>
      <c r="B33" s="129">
        <v>2014</v>
      </c>
      <c r="C33" s="55">
        <f t="shared" si="13"/>
        <v>45000</v>
      </c>
      <c r="D33" s="55">
        <v>0</v>
      </c>
      <c r="E33" s="55">
        <f t="shared" si="12"/>
        <v>45000</v>
      </c>
      <c r="F33" s="55">
        <v>0</v>
      </c>
      <c r="G33" s="55">
        <v>30000</v>
      </c>
      <c r="H33" s="55">
        <v>15000</v>
      </c>
      <c r="I33" s="55">
        <v>0</v>
      </c>
      <c r="J33" s="55">
        <v>0</v>
      </c>
      <c r="K33" s="55">
        <v>0</v>
      </c>
    </row>
    <row r="34" spans="1:11" s="113" customFormat="1" ht="12.75">
      <c r="A34" s="5"/>
      <c r="B34" s="129">
        <v>2015</v>
      </c>
      <c r="C34" s="55">
        <f t="shared" si="13"/>
        <v>30000</v>
      </c>
      <c r="D34" s="55">
        <v>0</v>
      </c>
      <c r="E34" s="55">
        <f t="shared" si="12"/>
        <v>30000</v>
      </c>
      <c r="F34" s="55">
        <v>0</v>
      </c>
      <c r="G34" s="55">
        <v>30000</v>
      </c>
      <c r="H34" s="55">
        <v>0</v>
      </c>
      <c r="I34" s="55">
        <v>0</v>
      </c>
      <c r="J34" s="55">
        <v>0</v>
      </c>
      <c r="K34" s="55">
        <v>0</v>
      </c>
    </row>
    <row r="35" spans="1:11" s="113" customFormat="1" ht="12.75">
      <c r="A35" s="5"/>
      <c r="B35" s="129">
        <v>2016</v>
      </c>
      <c r="C35" s="55">
        <f t="shared" si="13"/>
        <v>30000</v>
      </c>
      <c r="D35" s="55">
        <v>0</v>
      </c>
      <c r="E35" s="55">
        <f t="shared" si="12"/>
        <v>30000</v>
      </c>
      <c r="F35" s="55">
        <v>0</v>
      </c>
      <c r="G35" s="55">
        <v>30000</v>
      </c>
      <c r="H35" s="55">
        <v>0</v>
      </c>
      <c r="I35" s="55">
        <v>0</v>
      </c>
      <c r="J35" s="55">
        <v>0</v>
      </c>
      <c r="K35" s="55">
        <v>0</v>
      </c>
    </row>
    <row r="36" spans="1:11" s="113" customFormat="1" ht="12.75">
      <c r="A36" s="5"/>
      <c r="B36" s="129" t="s">
        <v>325</v>
      </c>
      <c r="C36" s="55">
        <f t="shared" si="13"/>
        <v>120000</v>
      </c>
      <c r="D36" s="55">
        <v>0</v>
      </c>
      <c r="E36" s="55">
        <f>F36+G36+H36</f>
        <v>120000</v>
      </c>
      <c r="F36" s="55">
        <v>0</v>
      </c>
      <c r="G36" s="55">
        <v>120000</v>
      </c>
      <c r="H36" s="55">
        <v>0</v>
      </c>
      <c r="I36" s="55">
        <v>0</v>
      </c>
      <c r="J36" s="55">
        <v>0</v>
      </c>
      <c r="K36" s="55"/>
    </row>
    <row r="37" spans="1:11" ht="28.5" customHeight="1">
      <c r="A37" s="5">
        <v>2</v>
      </c>
      <c r="B37" s="122" t="s">
        <v>277</v>
      </c>
      <c r="C37" s="97">
        <f>C39+C40+C41+C42+C43+C44</f>
        <v>6569790.8</v>
      </c>
      <c r="D37" s="97">
        <f>D39+D40+D41+D42+D43+D44</f>
        <v>27929.699999999997</v>
      </c>
      <c r="E37" s="97">
        <f>E39+E40+E41+E42+E43+E44</f>
        <v>173161.1</v>
      </c>
      <c r="F37" s="97">
        <f aca="true" t="shared" si="14" ref="F37:K37">F39+F40+F41+F42+F43</f>
        <v>30000</v>
      </c>
      <c r="G37" s="97">
        <f t="shared" si="14"/>
        <v>135000</v>
      </c>
      <c r="H37" s="97">
        <f>H39+H40+H41+H42+H43+H44</f>
        <v>8161.099999999999</v>
      </c>
      <c r="I37" s="97">
        <f t="shared" si="14"/>
        <v>0</v>
      </c>
      <c r="J37" s="97">
        <f>J39+J40+J41+J42+J43+J44</f>
        <v>6368700</v>
      </c>
      <c r="K37" s="97">
        <f t="shared" si="14"/>
        <v>0</v>
      </c>
    </row>
    <row r="38" spans="1:11" ht="12.75">
      <c r="A38" s="5"/>
      <c r="B38" s="121" t="s">
        <v>326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12.75">
      <c r="A39" s="5"/>
      <c r="B39" s="121" t="s">
        <v>270</v>
      </c>
      <c r="C39" s="96">
        <f aca="true" t="shared" si="15" ref="C39:C44">D39+E39+I39+J39</f>
        <v>870080.2</v>
      </c>
      <c r="D39" s="96">
        <f aca="true" t="shared" si="16" ref="D39:I43">D47+D54+D61+D68+D75+D82+D89+D96+D103+D110+D117+D124+D131+D138+D145+D152+D160+D167+D174+D181+D188+D195+D202+D209+D216+D224+D231</f>
        <v>2494.4</v>
      </c>
      <c r="E39" s="96">
        <f aca="true" t="shared" si="17" ref="E39:E44">F39+G39+H39</f>
        <v>65785.8</v>
      </c>
      <c r="F39" s="96">
        <f t="shared" si="16"/>
        <v>15000</v>
      </c>
      <c r="G39" s="96">
        <f t="shared" si="16"/>
        <v>50000</v>
      </c>
      <c r="H39" s="96">
        <f t="shared" si="16"/>
        <v>785.8</v>
      </c>
      <c r="I39" s="96">
        <f t="shared" si="16"/>
        <v>0</v>
      </c>
      <c r="J39" s="96">
        <f aca="true" t="shared" si="18" ref="J39:J44">J47+J54+J68+J75+J82+J89+J96+J103+J110+J117+J124+J131+J138+J145+J152+J160+J167+J174+J181+J188+J195+J202+J209+J216+J224+J231+J61</f>
        <v>801800</v>
      </c>
      <c r="K39" s="96">
        <f>K47+K54+K68+K75+K82+K89+K96+K103+K110+K117+K124+K131+K138+K145+K152+K160+K167+K174+K181+K188+K195+K202+K209+K216+K224+K231</f>
        <v>0</v>
      </c>
    </row>
    <row r="40" spans="1:11" ht="12.75">
      <c r="A40" s="5"/>
      <c r="B40" s="121" t="s">
        <v>271</v>
      </c>
      <c r="C40" s="96">
        <f t="shared" si="15"/>
        <v>889729.2</v>
      </c>
      <c r="D40" s="96">
        <f t="shared" si="16"/>
        <v>2786.5</v>
      </c>
      <c r="E40" s="96">
        <f t="shared" si="17"/>
        <v>65842.7</v>
      </c>
      <c r="F40" s="96">
        <f t="shared" si="16"/>
        <v>15000</v>
      </c>
      <c r="G40" s="96">
        <f t="shared" si="16"/>
        <v>50000</v>
      </c>
      <c r="H40" s="96">
        <f t="shared" si="16"/>
        <v>842.7</v>
      </c>
      <c r="I40" s="96">
        <f t="shared" si="16"/>
        <v>0</v>
      </c>
      <c r="J40" s="96">
        <f t="shared" si="18"/>
        <v>821100</v>
      </c>
      <c r="K40" s="96">
        <f>K48+K55+K69+K76+K83+K90+K97+K104+K111+K118+K125+K132+K139+K146+K153+K161+K168+K175+K182+K189+K196+K203+K210+K217+K225+K232</f>
        <v>0</v>
      </c>
    </row>
    <row r="41" spans="1:11" ht="12.75">
      <c r="A41" s="5"/>
      <c r="B41" s="121" t="s">
        <v>272</v>
      </c>
      <c r="C41" s="96">
        <f t="shared" si="15"/>
        <v>820800</v>
      </c>
      <c r="D41" s="96">
        <f t="shared" si="16"/>
        <v>3067.4</v>
      </c>
      <c r="E41" s="96">
        <f t="shared" si="17"/>
        <v>35932.6</v>
      </c>
      <c r="F41" s="96">
        <f t="shared" si="16"/>
        <v>0</v>
      </c>
      <c r="G41" s="96">
        <f t="shared" si="16"/>
        <v>35000</v>
      </c>
      <c r="H41" s="96">
        <f t="shared" si="16"/>
        <v>932.6</v>
      </c>
      <c r="I41" s="96">
        <f t="shared" si="16"/>
        <v>0</v>
      </c>
      <c r="J41" s="96">
        <f t="shared" si="18"/>
        <v>781800</v>
      </c>
      <c r="K41" s="96">
        <f>K49+K56+K70+K77+K84+K91+K98+K105+K112+K119+K126+K133+K140+K147+K154+K162+K169+K176+K183+K190+K197+K204+K211+K218+K226+K233</f>
        <v>0</v>
      </c>
    </row>
    <row r="42" spans="1:11" ht="12.75">
      <c r="A42" s="5"/>
      <c r="B42" s="121" t="s">
        <v>273</v>
      </c>
      <c r="C42" s="96">
        <f t="shared" si="15"/>
        <v>688759.6</v>
      </c>
      <c r="D42" s="96">
        <f t="shared" si="16"/>
        <v>3370.8</v>
      </c>
      <c r="E42" s="96">
        <f t="shared" si="17"/>
        <v>988.8</v>
      </c>
      <c r="F42" s="96">
        <f t="shared" si="16"/>
        <v>0</v>
      </c>
      <c r="G42" s="96">
        <f t="shared" si="16"/>
        <v>0</v>
      </c>
      <c r="H42" s="96">
        <f t="shared" si="16"/>
        <v>988.8</v>
      </c>
      <c r="I42" s="96">
        <f t="shared" si="16"/>
        <v>0</v>
      </c>
      <c r="J42" s="96">
        <f t="shared" si="18"/>
        <v>684400</v>
      </c>
      <c r="K42" s="96">
        <f>K50+K57+K71+K78+K85+K92+K99+K106+K113+K120+K127+K134+K141+K148+K155+K163+K170+K177+K184+K191+K198+K205+K212+K219+K227+K234</f>
        <v>0</v>
      </c>
    </row>
    <row r="43" spans="1:11" ht="12.75">
      <c r="A43" s="5"/>
      <c r="B43" s="121" t="s">
        <v>274</v>
      </c>
      <c r="C43" s="96">
        <f t="shared" si="15"/>
        <v>699721.8</v>
      </c>
      <c r="D43" s="96">
        <f t="shared" si="16"/>
        <v>3710.6</v>
      </c>
      <c r="E43" s="96">
        <f t="shared" si="17"/>
        <v>1011.2</v>
      </c>
      <c r="F43" s="96">
        <f t="shared" si="16"/>
        <v>0</v>
      </c>
      <c r="G43" s="96">
        <f t="shared" si="16"/>
        <v>0</v>
      </c>
      <c r="H43" s="96">
        <f t="shared" si="16"/>
        <v>1011.2</v>
      </c>
      <c r="I43" s="96">
        <f t="shared" si="16"/>
        <v>0</v>
      </c>
      <c r="J43" s="96">
        <f t="shared" si="18"/>
        <v>695000</v>
      </c>
      <c r="K43" s="96">
        <f>K51+K58+K72+K79+K86+K93+K100+K107+K114+K121+K128+K135+K142+K149+K156+K164+K171+K178+K185+K192+K199+K206+K213+K220+K228+K235</f>
        <v>0</v>
      </c>
    </row>
    <row r="44" spans="1:11" ht="12.75">
      <c r="A44" s="5"/>
      <c r="B44" s="121" t="s">
        <v>324</v>
      </c>
      <c r="C44" s="96">
        <f t="shared" si="15"/>
        <v>2600700</v>
      </c>
      <c r="D44" s="96">
        <f aca="true" t="shared" si="19" ref="D44:I44">D52+D59+D66+D73+D80+D87+D94+D101+D108+D115+D122+D129+D136+D143+D150+D157+D165+D172+D179+D186+D193+D200+D207+D214+D221+D229+D236</f>
        <v>12500</v>
      </c>
      <c r="E44" s="96">
        <f t="shared" si="17"/>
        <v>3600</v>
      </c>
      <c r="F44" s="96">
        <f t="shared" si="19"/>
        <v>0</v>
      </c>
      <c r="G44" s="96">
        <f t="shared" si="19"/>
        <v>0</v>
      </c>
      <c r="H44" s="96">
        <f t="shared" si="19"/>
        <v>3600</v>
      </c>
      <c r="I44" s="96">
        <f t="shared" si="19"/>
        <v>0</v>
      </c>
      <c r="J44" s="96">
        <f t="shared" si="18"/>
        <v>2584600</v>
      </c>
      <c r="K44" s="96"/>
    </row>
    <row r="45" spans="1:11" ht="30" customHeight="1">
      <c r="A45" s="5"/>
      <c r="B45" s="123" t="s">
        <v>278</v>
      </c>
      <c r="C45" s="54">
        <f>C46+C53+C60+C67+C74+C81+C88+C95+C102+C109+C116+C123+C130+C137+C144+C151</f>
        <v>3483100</v>
      </c>
      <c r="D45" s="54">
        <f aca="true" t="shared" si="20" ref="D45:K45">D46+D53+D60+D67+D74+D81+D88+D95+D102+D109+D116+D123+D130+D137+D144+D151</f>
        <v>0</v>
      </c>
      <c r="E45" s="54">
        <f t="shared" si="20"/>
        <v>135000</v>
      </c>
      <c r="F45" s="54">
        <f t="shared" si="20"/>
        <v>0</v>
      </c>
      <c r="G45" s="54">
        <f t="shared" si="20"/>
        <v>135000</v>
      </c>
      <c r="H45" s="54">
        <f t="shared" si="20"/>
        <v>0</v>
      </c>
      <c r="I45" s="54">
        <f t="shared" si="20"/>
        <v>0</v>
      </c>
      <c r="J45" s="54">
        <f t="shared" si="20"/>
        <v>3348100</v>
      </c>
      <c r="K45" s="54">
        <f t="shared" si="20"/>
        <v>0</v>
      </c>
    </row>
    <row r="46" spans="1:11" ht="25.5">
      <c r="A46" s="5"/>
      <c r="B46" s="123" t="s">
        <v>279</v>
      </c>
      <c r="C46" s="55">
        <f>D46+E46+I46+J46</f>
        <v>45000</v>
      </c>
      <c r="D46" s="54">
        <v>0</v>
      </c>
      <c r="E46" s="54">
        <f>SUM(E47:E51)</f>
        <v>0</v>
      </c>
      <c r="F46" s="54">
        <v>0</v>
      </c>
      <c r="G46" s="54">
        <v>0</v>
      </c>
      <c r="H46" s="54">
        <v>0</v>
      </c>
      <c r="I46" s="54">
        <v>0</v>
      </c>
      <c r="J46" s="54">
        <f>J47+J48+J49+J50+J51+J52</f>
        <v>45000</v>
      </c>
      <c r="K46" s="54">
        <v>0</v>
      </c>
    </row>
    <row r="47" spans="1:11" ht="12.75">
      <c r="A47" s="5"/>
      <c r="B47" s="124">
        <v>2012</v>
      </c>
      <c r="C47" s="55">
        <f aca="true" t="shared" si="21" ref="C47:C52">D47+E47+I47+J47</f>
        <v>5000</v>
      </c>
      <c r="D47" s="54">
        <v>0</v>
      </c>
      <c r="E47" s="54">
        <f aca="true" t="shared" si="22" ref="E47:E52">F47+G47+H47</f>
        <v>0</v>
      </c>
      <c r="F47" s="54">
        <v>0</v>
      </c>
      <c r="G47" s="54">
        <v>0</v>
      </c>
      <c r="H47" s="54">
        <v>0</v>
      </c>
      <c r="I47" s="54">
        <v>0</v>
      </c>
      <c r="J47" s="54">
        <v>5000</v>
      </c>
      <c r="K47" s="54">
        <v>0</v>
      </c>
    </row>
    <row r="48" spans="1:11" ht="12.75">
      <c r="A48" s="5"/>
      <c r="B48" s="124">
        <v>2013</v>
      </c>
      <c r="C48" s="55">
        <f t="shared" si="21"/>
        <v>5000</v>
      </c>
      <c r="D48" s="54">
        <v>0</v>
      </c>
      <c r="E48" s="54">
        <f t="shared" si="22"/>
        <v>0</v>
      </c>
      <c r="F48" s="54">
        <v>0</v>
      </c>
      <c r="G48" s="54">
        <v>0</v>
      </c>
      <c r="H48" s="54">
        <v>0</v>
      </c>
      <c r="I48" s="54">
        <v>0</v>
      </c>
      <c r="J48" s="54">
        <v>5000</v>
      </c>
      <c r="K48" s="54">
        <v>0</v>
      </c>
    </row>
    <row r="49" spans="1:11" ht="12.75">
      <c r="A49" s="5"/>
      <c r="B49" s="124">
        <v>2014</v>
      </c>
      <c r="C49" s="55">
        <f t="shared" si="21"/>
        <v>5000</v>
      </c>
      <c r="D49" s="54">
        <v>0</v>
      </c>
      <c r="E49" s="54">
        <f t="shared" si="22"/>
        <v>0</v>
      </c>
      <c r="F49" s="54">
        <v>0</v>
      </c>
      <c r="G49" s="54">
        <v>0</v>
      </c>
      <c r="H49" s="54">
        <v>0</v>
      </c>
      <c r="I49" s="54">
        <v>0</v>
      </c>
      <c r="J49" s="54">
        <v>5000</v>
      </c>
      <c r="K49" s="54">
        <v>0</v>
      </c>
    </row>
    <row r="50" spans="1:11" ht="12.75">
      <c r="A50" s="5"/>
      <c r="B50" s="124">
        <v>2015</v>
      </c>
      <c r="C50" s="55">
        <f t="shared" si="21"/>
        <v>5000</v>
      </c>
      <c r="D50" s="54">
        <v>0</v>
      </c>
      <c r="E50" s="54">
        <f t="shared" si="22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5000</v>
      </c>
      <c r="K50" s="54">
        <v>0</v>
      </c>
    </row>
    <row r="51" spans="1:11" ht="12.75">
      <c r="A51" s="5"/>
      <c r="B51" s="124">
        <v>2016</v>
      </c>
      <c r="C51" s="55">
        <f t="shared" si="21"/>
        <v>5000</v>
      </c>
      <c r="D51" s="54">
        <v>0</v>
      </c>
      <c r="E51" s="54">
        <f t="shared" si="22"/>
        <v>0</v>
      </c>
      <c r="F51" s="54">
        <v>0</v>
      </c>
      <c r="G51" s="54">
        <v>0</v>
      </c>
      <c r="H51" s="54">
        <v>0</v>
      </c>
      <c r="I51" s="54">
        <v>0</v>
      </c>
      <c r="J51" s="54">
        <v>5000</v>
      </c>
      <c r="K51" s="54">
        <v>0</v>
      </c>
    </row>
    <row r="52" spans="1:11" ht="12.75">
      <c r="A52" s="5"/>
      <c r="B52" s="124" t="s">
        <v>325</v>
      </c>
      <c r="C52" s="55">
        <f t="shared" si="21"/>
        <v>20000</v>
      </c>
      <c r="D52" s="54">
        <v>0</v>
      </c>
      <c r="E52" s="54">
        <f t="shared" si="22"/>
        <v>0</v>
      </c>
      <c r="F52" s="54">
        <v>0</v>
      </c>
      <c r="G52" s="54">
        <v>0</v>
      </c>
      <c r="H52" s="54">
        <v>0</v>
      </c>
      <c r="I52" s="54">
        <v>0</v>
      </c>
      <c r="J52" s="54">
        <v>20000</v>
      </c>
      <c r="K52" s="54"/>
    </row>
    <row r="53" spans="1:11" ht="25.5">
      <c r="A53" s="5"/>
      <c r="B53" s="123" t="s">
        <v>341</v>
      </c>
      <c r="C53" s="55">
        <f>D53+E53+I53+J53</f>
        <v>4500</v>
      </c>
      <c r="D53" s="54">
        <v>0</v>
      </c>
      <c r="E53" s="54">
        <f>SUM(E54:E58)</f>
        <v>0</v>
      </c>
      <c r="F53" s="54">
        <v>0</v>
      </c>
      <c r="G53" s="54">
        <v>0</v>
      </c>
      <c r="H53" s="54">
        <v>0</v>
      </c>
      <c r="I53" s="54">
        <v>0</v>
      </c>
      <c r="J53" s="54">
        <f>J54+J55+J56+J57+J58+J59</f>
        <v>4500</v>
      </c>
      <c r="K53" s="54">
        <v>0</v>
      </c>
    </row>
    <row r="54" spans="1:11" ht="12.75">
      <c r="A54" s="5"/>
      <c r="B54" s="124">
        <v>2012</v>
      </c>
      <c r="C54" s="55">
        <f aca="true" t="shared" si="23" ref="C54:C59">D54+E54+I54+J54</f>
        <v>300</v>
      </c>
      <c r="D54" s="54">
        <v>0</v>
      </c>
      <c r="E54" s="54">
        <f aca="true" t="shared" si="24" ref="E54:E59">F54+G54+H54</f>
        <v>0</v>
      </c>
      <c r="F54" s="54">
        <v>0</v>
      </c>
      <c r="G54" s="54">
        <v>0</v>
      </c>
      <c r="H54" s="54">
        <v>0</v>
      </c>
      <c r="I54" s="54">
        <v>0</v>
      </c>
      <c r="J54" s="54">
        <v>300</v>
      </c>
      <c r="K54" s="54">
        <v>0</v>
      </c>
    </row>
    <row r="55" spans="1:11" ht="12.75">
      <c r="A55" s="5"/>
      <c r="B55" s="124">
        <v>2013</v>
      </c>
      <c r="C55" s="55">
        <f t="shared" si="23"/>
        <v>400</v>
      </c>
      <c r="D55" s="54">
        <v>0</v>
      </c>
      <c r="E55" s="54">
        <f t="shared" si="24"/>
        <v>0</v>
      </c>
      <c r="F55" s="54">
        <v>0</v>
      </c>
      <c r="G55" s="54">
        <v>0</v>
      </c>
      <c r="H55" s="54">
        <v>0</v>
      </c>
      <c r="I55" s="54">
        <v>0</v>
      </c>
      <c r="J55" s="54">
        <v>400</v>
      </c>
      <c r="K55" s="54">
        <v>0</v>
      </c>
    </row>
    <row r="56" spans="1:11" ht="12.75">
      <c r="A56" s="5"/>
      <c r="B56" s="124">
        <v>2014</v>
      </c>
      <c r="C56" s="55">
        <f t="shared" si="23"/>
        <v>500</v>
      </c>
      <c r="D56" s="54">
        <v>0</v>
      </c>
      <c r="E56" s="54">
        <f t="shared" si="24"/>
        <v>0</v>
      </c>
      <c r="F56" s="54">
        <v>0</v>
      </c>
      <c r="G56" s="54">
        <v>0</v>
      </c>
      <c r="H56" s="54">
        <v>0</v>
      </c>
      <c r="I56" s="54">
        <v>0</v>
      </c>
      <c r="J56" s="54">
        <v>500</v>
      </c>
      <c r="K56" s="54">
        <v>0</v>
      </c>
    </row>
    <row r="57" spans="1:11" ht="12.75">
      <c r="A57" s="5"/>
      <c r="B57" s="124">
        <v>2015</v>
      </c>
      <c r="C57" s="55">
        <f t="shared" si="23"/>
        <v>600</v>
      </c>
      <c r="D57" s="54">
        <v>0</v>
      </c>
      <c r="E57" s="54">
        <f t="shared" si="24"/>
        <v>0</v>
      </c>
      <c r="F57" s="54">
        <v>0</v>
      </c>
      <c r="G57" s="54">
        <v>0</v>
      </c>
      <c r="H57" s="54">
        <v>0</v>
      </c>
      <c r="I57" s="54">
        <v>0</v>
      </c>
      <c r="J57" s="54">
        <v>600</v>
      </c>
      <c r="K57" s="54">
        <v>0</v>
      </c>
    </row>
    <row r="58" spans="1:11" ht="12.75">
      <c r="A58" s="5"/>
      <c r="B58" s="124">
        <v>2016</v>
      </c>
      <c r="C58" s="55">
        <f t="shared" si="23"/>
        <v>700</v>
      </c>
      <c r="D58" s="54">
        <v>0</v>
      </c>
      <c r="E58" s="54">
        <f t="shared" si="24"/>
        <v>0</v>
      </c>
      <c r="F58" s="54">
        <v>0</v>
      </c>
      <c r="G58" s="54">
        <v>0</v>
      </c>
      <c r="H58" s="54">
        <v>0</v>
      </c>
      <c r="I58" s="54">
        <v>0</v>
      </c>
      <c r="J58" s="54">
        <v>700</v>
      </c>
      <c r="K58" s="54">
        <v>0</v>
      </c>
    </row>
    <row r="59" spans="1:11" ht="12.75">
      <c r="A59" s="5"/>
      <c r="B59" s="124" t="s">
        <v>325</v>
      </c>
      <c r="C59" s="55">
        <f t="shared" si="23"/>
        <v>2000</v>
      </c>
      <c r="D59" s="54">
        <v>0</v>
      </c>
      <c r="E59" s="54">
        <f t="shared" si="24"/>
        <v>0</v>
      </c>
      <c r="F59" s="54">
        <v>0</v>
      </c>
      <c r="G59" s="54">
        <v>0</v>
      </c>
      <c r="H59" s="54">
        <v>0</v>
      </c>
      <c r="I59" s="54">
        <v>0</v>
      </c>
      <c r="J59" s="54">
        <v>2000</v>
      </c>
      <c r="K59" s="54"/>
    </row>
    <row r="60" spans="1:11" ht="18.75" customHeight="1">
      <c r="A60" s="5"/>
      <c r="B60" s="123" t="s">
        <v>280</v>
      </c>
      <c r="C60" s="55">
        <f>D60+E60+I60+J60</f>
        <v>450000</v>
      </c>
      <c r="D60" s="54">
        <v>0</v>
      </c>
      <c r="E60" s="54">
        <f>SUM(E61:E65)</f>
        <v>0</v>
      </c>
      <c r="F60" s="54">
        <v>0</v>
      </c>
      <c r="G60" s="54">
        <v>0</v>
      </c>
      <c r="H60" s="54">
        <v>0</v>
      </c>
      <c r="I60" s="54">
        <v>0</v>
      </c>
      <c r="J60" s="54">
        <f>J61+J62+J63+J64+J65+J66</f>
        <v>450000</v>
      </c>
      <c r="K60" s="54">
        <v>0</v>
      </c>
    </row>
    <row r="61" spans="1:11" ht="12.75">
      <c r="A61" s="5"/>
      <c r="B61" s="124">
        <v>2012</v>
      </c>
      <c r="C61" s="55">
        <f aca="true" t="shared" si="25" ref="C61:C66">D61+E61+I61+J61</f>
        <v>50000</v>
      </c>
      <c r="D61" s="54">
        <v>0</v>
      </c>
      <c r="E61" s="54">
        <f aca="true" t="shared" si="26" ref="E61:E66">F61+G61+H61</f>
        <v>0</v>
      </c>
      <c r="F61" s="54">
        <v>0</v>
      </c>
      <c r="G61" s="54">
        <v>0</v>
      </c>
      <c r="H61" s="54">
        <v>0</v>
      </c>
      <c r="I61" s="54">
        <v>0</v>
      </c>
      <c r="J61" s="54">
        <v>50000</v>
      </c>
      <c r="K61" s="54">
        <v>0</v>
      </c>
    </row>
    <row r="62" spans="1:11" ht="12.75">
      <c r="A62" s="5"/>
      <c r="B62" s="124">
        <v>2013</v>
      </c>
      <c r="C62" s="55">
        <f t="shared" si="25"/>
        <v>50000</v>
      </c>
      <c r="D62" s="54">
        <v>0</v>
      </c>
      <c r="E62" s="54">
        <f t="shared" si="26"/>
        <v>0</v>
      </c>
      <c r="F62" s="54">
        <v>0</v>
      </c>
      <c r="G62" s="54">
        <v>0</v>
      </c>
      <c r="H62" s="54">
        <v>0</v>
      </c>
      <c r="I62" s="54">
        <v>0</v>
      </c>
      <c r="J62" s="54">
        <v>50000</v>
      </c>
      <c r="K62" s="54">
        <v>0</v>
      </c>
    </row>
    <row r="63" spans="1:11" ht="12.75">
      <c r="A63" s="5"/>
      <c r="B63" s="124">
        <v>2014</v>
      </c>
      <c r="C63" s="55">
        <f t="shared" si="25"/>
        <v>50000</v>
      </c>
      <c r="D63" s="54">
        <v>0</v>
      </c>
      <c r="E63" s="54">
        <f t="shared" si="26"/>
        <v>0</v>
      </c>
      <c r="F63" s="54">
        <v>0</v>
      </c>
      <c r="G63" s="54">
        <v>0</v>
      </c>
      <c r="H63" s="54">
        <v>0</v>
      </c>
      <c r="I63" s="54">
        <v>0</v>
      </c>
      <c r="J63" s="54">
        <v>50000</v>
      </c>
      <c r="K63" s="54">
        <v>0</v>
      </c>
    </row>
    <row r="64" spans="1:11" ht="12.75">
      <c r="A64" s="5"/>
      <c r="B64" s="124">
        <v>2015</v>
      </c>
      <c r="C64" s="55">
        <f t="shared" si="25"/>
        <v>50000</v>
      </c>
      <c r="D64" s="54">
        <v>0</v>
      </c>
      <c r="E64" s="54">
        <f t="shared" si="26"/>
        <v>0</v>
      </c>
      <c r="F64" s="54">
        <v>0</v>
      </c>
      <c r="G64" s="54">
        <v>0</v>
      </c>
      <c r="H64" s="54">
        <v>0</v>
      </c>
      <c r="I64" s="54">
        <v>0</v>
      </c>
      <c r="J64" s="54">
        <v>50000</v>
      </c>
      <c r="K64" s="54">
        <v>0</v>
      </c>
    </row>
    <row r="65" spans="1:11" ht="12.75">
      <c r="A65" s="5"/>
      <c r="B65" s="124">
        <v>2016</v>
      </c>
      <c r="C65" s="55">
        <f t="shared" si="25"/>
        <v>50000</v>
      </c>
      <c r="D65" s="54">
        <v>0</v>
      </c>
      <c r="E65" s="54">
        <f t="shared" si="26"/>
        <v>0</v>
      </c>
      <c r="F65" s="54">
        <v>0</v>
      </c>
      <c r="G65" s="54">
        <v>0</v>
      </c>
      <c r="H65" s="54">
        <v>0</v>
      </c>
      <c r="I65" s="54">
        <v>0</v>
      </c>
      <c r="J65" s="54">
        <v>50000</v>
      </c>
      <c r="K65" s="54">
        <v>0</v>
      </c>
    </row>
    <row r="66" spans="1:11" ht="12.75">
      <c r="A66" s="5"/>
      <c r="B66" s="124" t="s">
        <v>325</v>
      </c>
      <c r="C66" s="55">
        <f t="shared" si="25"/>
        <v>200000</v>
      </c>
      <c r="D66" s="54">
        <v>0</v>
      </c>
      <c r="E66" s="54">
        <f t="shared" si="26"/>
        <v>0</v>
      </c>
      <c r="F66" s="54">
        <v>0</v>
      </c>
      <c r="G66" s="54">
        <v>0</v>
      </c>
      <c r="H66" s="54">
        <v>0</v>
      </c>
      <c r="I66" s="54">
        <v>0</v>
      </c>
      <c r="J66" s="54">
        <v>200000</v>
      </c>
      <c r="K66" s="54"/>
    </row>
    <row r="67" spans="1:11" ht="25.5">
      <c r="A67" s="5"/>
      <c r="B67" s="123" t="s">
        <v>281</v>
      </c>
      <c r="C67" s="55">
        <f>D67+E67+I67+J67</f>
        <v>810000</v>
      </c>
      <c r="D67" s="54">
        <v>0</v>
      </c>
      <c r="E67" s="54">
        <f>SUM(E68:E72)</f>
        <v>135000</v>
      </c>
      <c r="F67" s="54">
        <v>0</v>
      </c>
      <c r="G67" s="54">
        <f>SUM(G68:G72)</f>
        <v>135000</v>
      </c>
      <c r="H67" s="54">
        <v>0</v>
      </c>
      <c r="I67" s="54">
        <v>0</v>
      </c>
      <c r="J67" s="54">
        <f>J68+J69+J70+J71+J72+J73</f>
        <v>675000</v>
      </c>
      <c r="K67" s="54">
        <v>0</v>
      </c>
    </row>
    <row r="68" spans="1:11" ht="12.75">
      <c r="A68" s="5"/>
      <c r="B68" s="124">
        <v>2012</v>
      </c>
      <c r="C68" s="55">
        <f aca="true" t="shared" si="27" ref="C68:C73">D68+E68+I68+J68</f>
        <v>120000</v>
      </c>
      <c r="D68" s="54">
        <v>0</v>
      </c>
      <c r="E68" s="54">
        <f aca="true" t="shared" si="28" ref="E68:E73">F68+G68+H68</f>
        <v>50000</v>
      </c>
      <c r="F68" s="54">
        <v>0</v>
      </c>
      <c r="G68" s="54">
        <v>50000</v>
      </c>
      <c r="H68" s="54">
        <v>0</v>
      </c>
      <c r="I68" s="54">
        <v>0</v>
      </c>
      <c r="J68" s="54">
        <v>70000</v>
      </c>
      <c r="K68" s="54">
        <v>0</v>
      </c>
    </row>
    <row r="69" spans="1:11" ht="12.75">
      <c r="A69" s="5"/>
      <c r="B69" s="124">
        <v>2013</v>
      </c>
      <c r="C69" s="55">
        <f t="shared" si="27"/>
        <v>120000</v>
      </c>
      <c r="D69" s="54">
        <v>0</v>
      </c>
      <c r="E69" s="54">
        <f t="shared" si="28"/>
        <v>50000</v>
      </c>
      <c r="F69" s="54">
        <v>0</v>
      </c>
      <c r="G69" s="54">
        <v>50000</v>
      </c>
      <c r="H69" s="54">
        <v>0</v>
      </c>
      <c r="I69" s="54">
        <v>0</v>
      </c>
      <c r="J69" s="54">
        <v>70000</v>
      </c>
      <c r="K69" s="54">
        <v>0</v>
      </c>
    </row>
    <row r="70" spans="1:11" ht="12.75">
      <c r="A70" s="5"/>
      <c r="B70" s="124">
        <v>2014</v>
      </c>
      <c r="C70" s="55">
        <f t="shared" si="27"/>
        <v>90000</v>
      </c>
      <c r="D70" s="54">
        <v>0</v>
      </c>
      <c r="E70" s="54">
        <f t="shared" si="28"/>
        <v>35000</v>
      </c>
      <c r="F70" s="54">
        <v>0</v>
      </c>
      <c r="G70" s="54">
        <v>35000</v>
      </c>
      <c r="H70" s="54">
        <v>0</v>
      </c>
      <c r="I70" s="54">
        <v>0</v>
      </c>
      <c r="J70" s="54">
        <v>55000</v>
      </c>
      <c r="K70" s="54">
        <v>0</v>
      </c>
    </row>
    <row r="71" spans="1:11" ht="12.75">
      <c r="A71" s="5"/>
      <c r="B71" s="124">
        <v>2015</v>
      </c>
      <c r="C71" s="55">
        <f t="shared" si="27"/>
        <v>80000</v>
      </c>
      <c r="D71" s="54">
        <v>0</v>
      </c>
      <c r="E71" s="54">
        <f t="shared" si="28"/>
        <v>0</v>
      </c>
      <c r="F71" s="54">
        <v>0</v>
      </c>
      <c r="G71" s="54">
        <v>0</v>
      </c>
      <c r="H71" s="54">
        <v>0</v>
      </c>
      <c r="I71" s="54">
        <v>0</v>
      </c>
      <c r="J71" s="54">
        <v>80000</v>
      </c>
      <c r="K71" s="54">
        <v>0</v>
      </c>
    </row>
    <row r="72" spans="1:11" ht="12.75">
      <c r="A72" s="5"/>
      <c r="B72" s="124">
        <v>2016</v>
      </c>
      <c r="C72" s="55">
        <f t="shared" si="27"/>
        <v>80000</v>
      </c>
      <c r="D72" s="54">
        <v>0</v>
      </c>
      <c r="E72" s="54">
        <f t="shared" si="28"/>
        <v>0</v>
      </c>
      <c r="F72" s="54">
        <v>0</v>
      </c>
      <c r="G72" s="54">
        <v>0</v>
      </c>
      <c r="H72" s="54">
        <v>0</v>
      </c>
      <c r="I72" s="54">
        <v>0</v>
      </c>
      <c r="J72" s="54">
        <v>80000</v>
      </c>
      <c r="K72" s="54">
        <v>0</v>
      </c>
    </row>
    <row r="73" spans="1:11" ht="12.75">
      <c r="A73" s="5"/>
      <c r="B73" s="124" t="s">
        <v>325</v>
      </c>
      <c r="C73" s="55">
        <f t="shared" si="27"/>
        <v>320000</v>
      </c>
      <c r="D73" s="54">
        <v>0</v>
      </c>
      <c r="E73" s="54">
        <f t="shared" si="28"/>
        <v>0</v>
      </c>
      <c r="F73" s="54">
        <v>0</v>
      </c>
      <c r="G73" s="54">
        <v>0</v>
      </c>
      <c r="H73" s="54">
        <v>0</v>
      </c>
      <c r="I73" s="54">
        <v>0</v>
      </c>
      <c r="J73" s="54">
        <v>320000</v>
      </c>
      <c r="K73" s="54"/>
    </row>
    <row r="74" spans="1:11" ht="29.25" customHeight="1">
      <c r="A74" s="5"/>
      <c r="B74" s="123" t="s">
        <v>282</v>
      </c>
      <c r="C74" s="55">
        <f>D74+E74+I74+J74</f>
        <v>282800</v>
      </c>
      <c r="D74" s="54">
        <v>0</v>
      </c>
      <c r="E74" s="54">
        <f>SUM(E75:E79)</f>
        <v>0</v>
      </c>
      <c r="F74" s="54">
        <v>0</v>
      </c>
      <c r="G74" s="54">
        <v>0</v>
      </c>
      <c r="H74" s="54">
        <v>0</v>
      </c>
      <c r="I74" s="54">
        <v>0</v>
      </c>
      <c r="J74" s="54">
        <f>J75+J76+J77+J78+J79+J80</f>
        <v>282800</v>
      </c>
      <c r="K74" s="54">
        <v>0</v>
      </c>
    </row>
    <row r="75" spans="1:11" ht="12.75">
      <c r="A75" s="5"/>
      <c r="B75" s="124">
        <v>2012</v>
      </c>
      <c r="C75" s="55">
        <f aca="true" t="shared" si="29" ref="C75:C80">D75+E75+I75+J75</f>
        <v>63900</v>
      </c>
      <c r="D75" s="54">
        <v>0</v>
      </c>
      <c r="E75" s="54">
        <f aca="true" t="shared" si="30" ref="E75:E80">F75+G75+H75</f>
        <v>0</v>
      </c>
      <c r="F75" s="54">
        <v>0</v>
      </c>
      <c r="G75" s="54">
        <v>0</v>
      </c>
      <c r="H75" s="54">
        <v>0</v>
      </c>
      <c r="I75" s="54">
        <v>0</v>
      </c>
      <c r="J75" s="54">
        <v>63900</v>
      </c>
      <c r="K75" s="54">
        <v>0</v>
      </c>
    </row>
    <row r="76" spans="1:11" ht="12.75">
      <c r="A76" s="5"/>
      <c r="B76" s="124">
        <v>2013</v>
      </c>
      <c r="C76" s="55">
        <f t="shared" si="29"/>
        <v>63900</v>
      </c>
      <c r="D76" s="54">
        <v>0</v>
      </c>
      <c r="E76" s="54">
        <f t="shared" si="30"/>
        <v>0</v>
      </c>
      <c r="F76" s="54">
        <v>0</v>
      </c>
      <c r="G76" s="54">
        <v>0</v>
      </c>
      <c r="H76" s="54">
        <v>0</v>
      </c>
      <c r="I76" s="54">
        <v>0</v>
      </c>
      <c r="J76" s="54">
        <v>63900</v>
      </c>
      <c r="K76" s="54">
        <v>0</v>
      </c>
    </row>
    <row r="77" spans="1:11" ht="12.75">
      <c r="A77" s="5"/>
      <c r="B77" s="124">
        <v>2014</v>
      </c>
      <c r="C77" s="55">
        <f t="shared" si="29"/>
        <v>25000</v>
      </c>
      <c r="D77" s="54">
        <v>0</v>
      </c>
      <c r="E77" s="54">
        <f t="shared" si="30"/>
        <v>0</v>
      </c>
      <c r="F77" s="54">
        <v>0</v>
      </c>
      <c r="G77" s="54">
        <v>0</v>
      </c>
      <c r="H77" s="54">
        <v>0</v>
      </c>
      <c r="I77" s="54">
        <v>0</v>
      </c>
      <c r="J77" s="54">
        <v>25000</v>
      </c>
      <c r="K77" s="54">
        <v>0</v>
      </c>
    </row>
    <row r="78" spans="1:11" ht="12.75">
      <c r="A78" s="5"/>
      <c r="B78" s="124">
        <v>2015</v>
      </c>
      <c r="C78" s="55">
        <f t="shared" si="29"/>
        <v>25000</v>
      </c>
      <c r="D78" s="54">
        <v>0</v>
      </c>
      <c r="E78" s="54">
        <f t="shared" si="30"/>
        <v>0</v>
      </c>
      <c r="F78" s="54">
        <v>0</v>
      </c>
      <c r="G78" s="54">
        <v>0</v>
      </c>
      <c r="H78" s="54">
        <v>0</v>
      </c>
      <c r="I78" s="54">
        <v>0</v>
      </c>
      <c r="J78" s="54">
        <v>25000</v>
      </c>
      <c r="K78" s="54">
        <v>0</v>
      </c>
    </row>
    <row r="79" spans="1:11" ht="12.75">
      <c r="A79" s="5"/>
      <c r="B79" s="124">
        <v>2016</v>
      </c>
      <c r="C79" s="55">
        <f t="shared" si="29"/>
        <v>25000</v>
      </c>
      <c r="D79" s="54">
        <v>0</v>
      </c>
      <c r="E79" s="54">
        <f t="shared" si="30"/>
        <v>0</v>
      </c>
      <c r="F79" s="54">
        <v>0</v>
      </c>
      <c r="G79" s="54">
        <v>0</v>
      </c>
      <c r="H79" s="54">
        <v>0</v>
      </c>
      <c r="I79" s="54">
        <v>0</v>
      </c>
      <c r="J79" s="54">
        <v>25000</v>
      </c>
      <c r="K79" s="54">
        <v>0</v>
      </c>
    </row>
    <row r="80" spans="1:11" ht="12.75">
      <c r="A80" s="5"/>
      <c r="B80" s="124" t="s">
        <v>325</v>
      </c>
      <c r="C80" s="55">
        <f t="shared" si="29"/>
        <v>80000</v>
      </c>
      <c r="D80" s="54">
        <v>0</v>
      </c>
      <c r="E80" s="54">
        <f t="shared" si="30"/>
        <v>0</v>
      </c>
      <c r="F80" s="54">
        <v>0</v>
      </c>
      <c r="G80" s="54">
        <v>0</v>
      </c>
      <c r="H80" s="54">
        <v>0</v>
      </c>
      <c r="I80" s="54">
        <v>0</v>
      </c>
      <c r="J80" s="54">
        <v>80000</v>
      </c>
      <c r="K80" s="54"/>
    </row>
    <row r="81" spans="1:11" ht="25.5">
      <c r="A81" s="5"/>
      <c r="B81" s="123" t="s">
        <v>283</v>
      </c>
      <c r="C81" s="55">
        <f>D81+E81+I81+J81</f>
        <v>1040000</v>
      </c>
      <c r="D81" s="54">
        <v>0</v>
      </c>
      <c r="E81" s="54">
        <f>SUM(E82:E86)</f>
        <v>0</v>
      </c>
      <c r="F81" s="54">
        <v>0</v>
      </c>
      <c r="G81" s="54">
        <v>0</v>
      </c>
      <c r="H81" s="54">
        <v>0</v>
      </c>
      <c r="I81" s="54">
        <v>0</v>
      </c>
      <c r="J81" s="54">
        <f>J82+J83+J84+J85+J86+J87</f>
        <v>1040000</v>
      </c>
      <c r="K81" s="54">
        <v>0</v>
      </c>
    </row>
    <row r="82" spans="1:11" ht="12.75">
      <c r="A82" s="5"/>
      <c r="B82" s="124">
        <v>2012</v>
      </c>
      <c r="C82" s="55">
        <f aca="true" t="shared" si="31" ref="C82:C87">D82+E82+I82+J82</f>
        <v>90000</v>
      </c>
      <c r="D82" s="54">
        <v>0</v>
      </c>
      <c r="E82" s="54">
        <f aca="true" t="shared" si="32" ref="E82:E87">F82+G82+H82</f>
        <v>0</v>
      </c>
      <c r="F82" s="54">
        <v>0</v>
      </c>
      <c r="G82" s="54">
        <v>0</v>
      </c>
      <c r="H82" s="54">
        <v>0</v>
      </c>
      <c r="I82" s="54">
        <v>0</v>
      </c>
      <c r="J82" s="54">
        <v>90000</v>
      </c>
      <c r="K82" s="54">
        <v>0</v>
      </c>
    </row>
    <row r="83" spans="1:11" ht="12.75">
      <c r="A83" s="5"/>
      <c r="B83" s="124">
        <v>2013</v>
      </c>
      <c r="C83" s="55">
        <f t="shared" si="31"/>
        <v>100000</v>
      </c>
      <c r="D83" s="54">
        <v>0</v>
      </c>
      <c r="E83" s="54">
        <f t="shared" si="32"/>
        <v>0</v>
      </c>
      <c r="F83" s="54">
        <v>0</v>
      </c>
      <c r="G83" s="54">
        <v>0</v>
      </c>
      <c r="H83" s="54">
        <v>0</v>
      </c>
      <c r="I83" s="54">
        <v>0</v>
      </c>
      <c r="J83" s="54">
        <v>100000</v>
      </c>
      <c r="K83" s="54">
        <v>0</v>
      </c>
    </row>
    <row r="84" spans="1:11" ht="12.75">
      <c r="A84" s="5"/>
      <c r="B84" s="124">
        <v>2014</v>
      </c>
      <c r="C84" s="55">
        <f t="shared" si="31"/>
        <v>120000</v>
      </c>
      <c r="D84" s="54">
        <v>0</v>
      </c>
      <c r="E84" s="54">
        <f t="shared" si="32"/>
        <v>0</v>
      </c>
      <c r="F84" s="54">
        <v>0</v>
      </c>
      <c r="G84" s="54">
        <v>0</v>
      </c>
      <c r="H84" s="54">
        <v>0</v>
      </c>
      <c r="I84" s="54">
        <v>0</v>
      </c>
      <c r="J84" s="54">
        <v>120000</v>
      </c>
      <c r="K84" s="54">
        <v>0</v>
      </c>
    </row>
    <row r="85" spans="1:11" ht="12.75">
      <c r="A85" s="5"/>
      <c r="B85" s="124">
        <v>2015</v>
      </c>
      <c r="C85" s="55">
        <f t="shared" si="31"/>
        <v>110000</v>
      </c>
      <c r="D85" s="54">
        <v>0</v>
      </c>
      <c r="E85" s="54">
        <f t="shared" si="32"/>
        <v>0</v>
      </c>
      <c r="F85" s="54">
        <v>0</v>
      </c>
      <c r="G85" s="54">
        <v>0</v>
      </c>
      <c r="H85" s="54">
        <v>0</v>
      </c>
      <c r="I85" s="54">
        <v>0</v>
      </c>
      <c r="J85" s="54">
        <v>110000</v>
      </c>
      <c r="K85" s="54">
        <v>0</v>
      </c>
    </row>
    <row r="86" spans="1:11" ht="12.75">
      <c r="A86" s="5"/>
      <c r="B86" s="124">
        <v>2016</v>
      </c>
      <c r="C86" s="55">
        <f t="shared" si="31"/>
        <v>120000</v>
      </c>
      <c r="D86" s="54">
        <v>0</v>
      </c>
      <c r="E86" s="54">
        <f t="shared" si="32"/>
        <v>0</v>
      </c>
      <c r="F86" s="54">
        <v>0</v>
      </c>
      <c r="G86" s="54">
        <v>0</v>
      </c>
      <c r="H86" s="54">
        <v>0</v>
      </c>
      <c r="I86" s="54">
        <v>0</v>
      </c>
      <c r="J86" s="54">
        <v>120000</v>
      </c>
      <c r="K86" s="54">
        <v>0</v>
      </c>
    </row>
    <row r="87" spans="1:11" ht="12.75">
      <c r="A87" s="5"/>
      <c r="B87" s="124" t="s">
        <v>325</v>
      </c>
      <c r="C87" s="55">
        <f t="shared" si="31"/>
        <v>500000</v>
      </c>
      <c r="D87" s="54">
        <v>0</v>
      </c>
      <c r="E87" s="54">
        <f t="shared" si="32"/>
        <v>0</v>
      </c>
      <c r="F87" s="54">
        <v>0</v>
      </c>
      <c r="G87" s="54">
        <v>0</v>
      </c>
      <c r="H87" s="54">
        <v>0</v>
      </c>
      <c r="I87" s="54">
        <v>0</v>
      </c>
      <c r="J87" s="54">
        <v>500000</v>
      </c>
      <c r="K87" s="54"/>
    </row>
    <row r="88" spans="1:11" ht="26.25" customHeight="1">
      <c r="A88" s="5"/>
      <c r="B88" s="123" t="s">
        <v>284</v>
      </c>
      <c r="C88" s="55">
        <f>D88+E88+I88+J88</f>
        <v>53000</v>
      </c>
      <c r="D88" s="54">
        <v>0</v>
      </c>
      <c r="E88" s="54">
        <f>SUM(E89:E93)</f>
        <v>0</v>
      </c>
      <c r="F88" s="54">
        <v>0</v>
      </c>
      <c r="G88" s="54">
        <v>0</v>
      </c>
      <c r="H88" s="54">
        <v>0</v>
      </c>
      <c r="I88" s="54">
        <v>0</v>
      </c>
      <c r="J88" s="54">
        <f>J89+J90+J91+J92+J93+J94</f>
        <v>53000</v>
      </c>
      <c r="K88" s="54">
        <v>0</v>
      </c>
    </row>
    <row r="89" spans="1:11" ht="12.75">
      <c r="A89" s="5"/>
      <c r="B89" s="124">
        <v>2012</v>
      </c>
      <c r="C89" s="55">
        <f aca="true" t="shared" si="33" ref="C89:C94">D89+E89+I89+J89</f>
        <v>5000</v>
      </c>
      <c r="D89" s="54">
        <v>0</v>
      </c>
      <c r="E89" s="54">
        <f aca="true" t="shared" si="34" ref="E89:E94">F89+G89+H89</f>
        <v>0</v>
      </c>
      <c r="F89" s="54">
        <v>0</v>
      </c>
      <c r="G89" s="54">
        <v>0</v>
      </c>
      <c r="H89" s="54">
        <v>0</v>
      </c>
      <c r="I89" s="54">
        <v>0</v>
      </c>
      <c r="J89" s="54">
        <v>5000</v>
      </c>
      <c r="K89" s="54">
        <v>0</v>
      </c>
    </row>
    <row r="90" spans="1:11" ht="12.75">
      <c r="A90" s="5"/>
      <c r="B90" s="124">
        <v>2013</v>
      </c>
      <c r="C90" s="55">
        <f t="shared" si="33"/>
        <v>6000</v>
      </c>
      <c r="D90" s="54">
        <v>0</v>
      </c>
      <c r="E90" s="54">
        <f t="shared" si="34"/>
        <v>0</v>
      </c>
      <c r="F90" s="54">
        <v>0</v>
      </c>
      <c r="G90" s="54">
        <v>0</v>
      </c>
      <c r="H90" s="54">
        <v>0</v>
      </c>
      <c r="I90" s="54">
        <v>0</v>
      </c>
      <c r="J90" s="54">
        <v>6000</v>
      </c>
      <c r="K90" s="54">
        <v>0</v>
      </c>
    </row>
    <row r="91" spans="1:11" ht="12.75">
      <c r="A91" s="5"/>
      <c r="B91" s="124">
        <v>2014</v>
      </c>
      <c r="C91" s="55">
        <f t="shared" si="33"/>
        <v>5000</v>
      </c>
      <c r="D91" s="54">
        <v>0</v>
      </c>
      <c r="E91" s="54">
        <f t="shared" si="34"/>
        <v>0</v>
      </c>
      <c r="F91" s="54">
        <v>0</v>
      </c>
      <c r="G91" s="54">
        <v>0</v>
      </c>
      <c r="H91" s="54">
        <v>0</v>
      </c>
      <c r="I91" s="54">
        <v>0</v>
      </c>
      <c r="J91" s="54">
        <v>5000</v>
      </c>
      <c r="K91" s="54">
        <v>0</v>
      </c>
    </row>
    <row r="92" spans="1:11" ht="12.75">
      <c r="A92" s="5"/>
      <c r="B92" s="124">
        <v>2015</v>
      </c>
      <c r="C92" s="55">
        <f t="shared" si="33"/>
        <v>6000</v>
      </c>
      <c r="D92" s="54">
        <v>0</v>
      </c>
      <c r="E92" s="54">
        <f t="shared" si="34"/>
        <v>0</v>
      </c>
      <c r="F92" s="54">
        <v>0</v>
      </c>
      <c r="G92" s="54">
        <v>0</v>
      </c>
      <c r="H92" s="54">
        <v>0</v>
      </c>
      <c r="I92" s="54">
        <v>0</v>
      </c>
      <c r="J92" s="54">
        <v>6000</v>
      </c>
      <c r="K92" s="54">
        <v>0</v>
      </c>
    </row>
    <row r="93" spans="1:11" ht="12.75">
      <c r="A93" s="5"/>
      <c r="B93" s="124">
        <v>2016</v>
      </c>
      <c r="C93" s="55">
        <f t="shared" si="33"/>
        <v>6000</v>
      </c>
      <c r="D93" s="54">
        <v>0</v>
      </c>
      <c r="E93" s="54">
        <f t="shared" si="34"/>
        <v>0</v>
      </c>
      <c r="F93" s="54">
        <v>0</v>
      </c>
      <c r="G93" s="54">
        <v>0</v>
      </c>
      <c r="H93" s="54">
        <v>0</v>
      </c>
      <c r="I93" s="54">
        <v>0</v>
      </c>
      <c r="J93" s="54">
        <v>6000</v>
      </c>
      <c r="K93" s="54">
        <v>0</v>
      </c>
    </row>
    <row r="94" spans="1:11" ht="12.75">
      <c r="A94" s="5"/>
      <c r="B94" s="124" t="s">
        <v>325</v>
      </c>
      <c r="C94" s="55">
        <f t="shared" si="33"/>
        <v>25000</v>
      </c>
      <c r="D94" s="54">
        <v>0</v>
      </c>
      <c r="E94" s="54">
        <f t="shared" si="34"/>
        <v>0</v>
      </c>
      <c r="F94" s="54">
        <v>0</v>
      </c>
      <c r="G94" s="54">
        <v>0</v>
      </c>
      <c r="H94" s="54">
        <v>0</v>
      </c>
      <c r="I94" s="54">
        <v>0</v>
      </c>
      <c r="J94" s="54">
        <v>25000</v>
      </c>
      <c r="K94" s="54"/>
    </row>
    <row r="95" spans="1:11" ht="25.5">
      <c r="A95" s="5"/>
      <c r="B95" s="123" t="s">
        <v>285</v>
      </c>
      <c r="C95" s="55">
        <f>D95+E95+I95+J95</f>
        <v>27000</v>
      </c>
      <c r="D95" s="54">
        <v>0</v>
      </c>
      <c r="E95" s="54">
        <f>SUM(E96:E100)</f>
        <v>0</v>
      </c>
      <c r="F95" s="54">
        <v>0</v>
      </c>
      <c r="G95" s="54">
        <v>0</v>
      </c>
      <c r="H95" s="54">
        <v>0</v>
      </c>
      <c r="I95" s="54">
        <v>0</v>
      </c>
      <c r="J95" s="54">
        <f>J96+J97+J98+J99+J100+J101</f>
        <v>27000</v>
      </c>
      <c r="K95" s="54">
        <v>0</v>
      </c>
    </row>
    <row r="96" spans="1:11" ht="12.75">
      <c r="A96" s="5"/>
      <c r="B96" s="124">
        <v>2012</v>
      </c>
      <c r="C96" s="55">
        <f aca="true" t="shared" si="35" ref="C96:C101">D96+E96+I96+J96</f>
        <v>3000</v>
      </c>
      <c r="D96" s="54">
        <v>0</v>
      </c>
      <c r="E96" s="54">
        <f aca="true" t="shared" si="36" ref="E96:E101">F96+G96+H96</f>
        <v>0</v>
      </c>
      <c r="F96" s="54">
        <v>0</v>
      </c>
      <c r="G96" s="54">
        <v>0</v>
      </c>
      <c r="H96" s="54">
        <v>0</v>
      </c>
      <c r="I96" s="54">
        <v>0</v>
      </c>
      <c r="J96" s="54">
        <v>3000</v>
      </c>
      <c r="K96" s="54">
        <v>0</v>
      </c>
    </row>
    <row r="97" spans="1:11" ht="12.75">
      <c r="A97" s="5"/>
      <c r="B97" s="124">
        <v>2013</v>
      </c>
      <c r="C97" s="55">
        <f t="shared" si="35"/>
        <v>3000</v>
      </c>
      <c r="D97" s="54">
        <v>0</v>
      </c>
      <c r="E97" s="54">
        <f t="shared" si="36"/>
        <v>0</v>
      </c>
      <c r="F97" s="54">
        <v>0</v>
      </c>
      <c r="G97" s="54">
        <v>0</v>
      </c>
      <c r="H97" s="54">
        <v>0</v>
      </c>
      <c r="I97" s="54">
        <v>0</v>
      </c>
      <c r="J97" s="54">
        <v>3000</v>
      </c>
      <c r="K97" s="54">
        <v>0</v>
      </c>
    </row>
    <row r="98" spans="1:11" ht="12.75">
      <c r="A98" s="5"/>
      <c r="B98" s="124">
        <v>2014</v>
      </c>
      <c r="C98" s="55">
        <f t="shared" si="35"/>
        <v>3000</v>
      </c>
      <c r="D98" s="54">
        <v>0</v>
      </c>
      <c r="E98" s="54">
        <f t="shared" si="36"/>
        <v>0</v>
      </c>
      <c r="F98" s="54">
        <v>0</v>
      </c>
      <c r="G98" s="54">
        <v>0</v>
      </c>
      <c r="H98" s="54">
        <v>0</v>
      </c>
      <c r="I98" s="54">
        <v>0</v>
      </c>
      <c r="J98" s="54">
        <v>3000</v>
      </c>
      <c r="K98" s="54">
        <v>0</v>
      </c>
    </row>
    <row r="99" spans="1:11" ht="12.75">
      <c r="A99" s="5"/>
      <c r="B99" s="124">
        <v>2015</v>
      </c>
      <c r="C99" s="55">
        <f t="shared" si="35"/>
        <v>3000</v>
      </c>
      <c r="D99" s="54">
        <v>0</v>
      </c>
      <c r="E99" s="54">
        <f t="shared" si="36"/>
        <v>0</v>
      </c>
      <c r="F99" s="54">
        <v>0</v>
      </c>
      <c r="G99" s="54">
        <v>0</v>
      </c>
      <c r="H99" s="54">
        <v>0</v>
      </c>
      <c r="I99" s="54">
        <v>0</v>
      </c>
      <c r="J99" s="54">
        <v>3000</v>
      </c>
      <c r="K99" s="54">
        <v>0</v>
      </c>
    </row>
    <row r="100" spans="1:11" ht="12.75">
      <c r="A100" s="5"/>
      <c r="B100" s="124">
        <v>2016</v>
      </c>
      <c r="C100" s="55">
        <f t="shared" si="35"/>
        <v>3000</v>
      </c>
      <c r="D100" s="54">
        <v>0</v>
      </c>
      <c r="E100" s="54">
        <f t="shared" si="36"/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3000</v>
      </c>
      <c r="K100" s="54">
        <v>0</v>
      </c>
    </row>
    <row r="101" spans="1:11" ht="12.75">
      <c r="A101" s="5"/>
      <c r="B101" s="124" t="s">
        <v>325</v>
      </c>
      <c r="C101" s="55">
        <f t="shared" si="35"/>
        <v>12000</v>
      </c>
      <c r="D101" s="54">
        <v>0</v>
      </c>
      <c r="E101" s="54">
        <f t="shared" si="36"/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12000</v>
      </c>
      <c r="K101" s="54"/>
    </row>
    <row r="102" spans="1:11" ht="25.5">
      <c r="A102" s="5"/>
      <c r="B102" s="123" t="s">
        <v>286</v>
      </c>
      <c r="C102" s="55">
        <f>D102+E102+I102+J102</f>
        <v>270000</v>
      </c>
      <c r="D102" s="54">
        <v>0</v>
      </c>
      <c r="E102" s="54">
        <f>SUM(E103:E107)</f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f>J103+J104+J105+J106+J107+J108</f>
        <v>270000</v>
      </c>
      <c r="K102" s="54">
        <v>0</v>
      </c>
    </row>
    <row r="103" spans="1:11" ht="12.75">
      <c r="A103" s="5"/>
      <c r="B103" s="124">
        <v>2012</v>
      </c>
      <c r="C103" s="55">
        <f aca="true" t="shared" si="37" ref="C103:C108">D103+E103+I103+J103</f>
        <v>30000</v>
      </c>
      <c r="D103" s="54">
        <v>0</v>
      </c>
      <c r="E103" s="54">
        <f aca="true" t="shared" si="38" ref="E103:E108">F103+G103+H103</f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30000</v>
      </c>
      <c r="K103" s="54">
        <v>0</v>
      </c>
    </row>
    <row r="104" spans="1:11" ht="12.75">
      <c r="A104" s="5"/>
      <c r="B104" s="124">
        <v>2013</v>
      </c>
      <c r="C104" s="55">
        <f t="shared" si="37"/>
        <v>30000</v>
      </c>
      <c r="D104" s="54">
        <v>0</v>
      </c>
      <c r="E104" s="54">
        <f t="shared" si="38"/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30000</v>
      </c>
      <c r="K104" s="54">
        <v>0</v>
      </c>
    </row>
    <row r="105" spans="1:11" ht="12.75">
      <c r="A105" s="5"/>
      <c r="B105" s="124">
        <v>2014</v>
      </c>
      <c r="C105" s="55">
        <f t="shared" si="37"/>
        <v>30000</v>
      </c>
      <c r="D105" s="54">
        <v>0</v>
      </c>
      <c r="E105" s="54">
        <f t="shared" si="38"/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30000</v>
      </c>
      <c r="K105" s="54">
        <v>0</v>
      </c>
    </row>
    <row r="106" spans="1:11" ht="12.75">
      <c r="A106" s="5"/>
      <c r="B106" s="124">
        <v>2015</v>
      </c>
      <c r="C106" s="55">
        <f t="shared" si="37"/>
        <v>30000</v>
      </c>
      <c r="D106" s="54">
        <v>0</v>
      </c>
      <c r="E106" s="54">
        <f t="shared" si="38"/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30000</v>
      </c>
      <c r="K106" s="54">
        <v>0</v>
      </c>
    </row>
    <row r="107" spans="1:11" ht="12.75">
      <c r="A107" s="5"/>
      <c r="B107" s="124">
        <v>2016</v>
      </c>
      <c r="C107" s="55">
        <f t="shared" si="37"/>
        <v>30000</v>
      </c>
      <c r="D107" s="54">
        <v>0</v>
      </c>
      <c r="E107" s="54">
        <f t="shared" si="38"/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30000</v>
      </c>
      <c r="K107" s="54">
        <v>0</v>
      </c>
    </row>
    <row r="108" spans="1:11" ht="12.75">
      <c r="A108" s="5"/>
      <c r="B108" s="124" t="s">
        <v>325</v>
      </c>
      <c r="C108" s="55">
        <f t="shared" si="37"/>
        <v>120000</v>
      </c>
      <c r="D108" s="54">
        <v>0</v>
      </c>
      <c r="E108" s="54">
        <f t="shared" si="38"/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120000</v>
      </c>
      <c r="K108" s="54"/>
    </row>
    <row r="109" spans="1:11" ht="26.25" customHeight="1">
      <c r="A109" s="5"/>
      <c r="B109" s="123" t="s">
        <v>287</v>
      </c>
      <c r="C109" s="55">
        <f>D109+E109+I109+J109</f>
        <v>130000</v>
      </c>
      <c r="D109" s="54">
        <v>0</v>
      </c>
      <c r="E109" s="54">
        <f>SUM(E110:E114)</f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f>J110+J111+J112+J113+J114+J115</f>
        <v>130000</v>
      </c>
      <c r="K109" s="54">
        <v>0</v>
      </c>
    </row>
    <row r="110" spans="1:11" ht="12.75">
      <c r="A110" s="5"/>
      <c r="B110" s="124">
        <v>2012</v>
      </c>
      <c r="C110" s="55">
        <f aca="true" t="shared" si="39" ref="C110:C115">D110+E110+I110+J110</f>
        <v>10000</v>
      </c>
      <c r="D110" s="54">
        <v>0</v>
      </c>
      <c r="E110" s="54">
        <f aca="true" t="shared" si="40" ref="E110:E115">F110+G110+H110</f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10000</v>
      </c>
      <c r="K110" s="54">
        <v>0</v>
      </c>
    </row>
    <row r="111" spans="1:11" ht="12.75">
      <c r="A111" s="5"/>
      <c r="B111" s="124">
        <v>2013</v>
      </c>
      <c r="C111" s="55">
        <f t="shared" si="39"/>
        <v>15000</v>
      </c>
      <c r="D111" s="54">
        <v>0</v>
      </c>
      <c r="E111" s="54">
        <f t="shared" si="40"/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15000</v>
      </c>
      <c r="K111" s="54">
        <v>0</v>
      </c>
    </row>
    <row r="112" spans="1:11" ht="12.75">
      <c r="A112" s="5"/>
      <c r="B112" s="124">
        <v>2014</v>
      </c>
      <c r="C112" s="55">
        <f t="shared" si="39"/>
        <v>15000</v>
      </c>
      <c r="D112" s="54">
        <v>0</v>
      </c>
      <c r="E112" s="54">
        <f t="shared" si="40"/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15000</v>
      </c>
      <c r="K112" s="54">
        <v>0</v>
      </c>
    </row>
    <row r="113" spans="1:11" ht="12.75">
      <c r="A113" s="5"/>
      <c r="B113" s="124">
        <v>2015</v>
      </c>
      <c r="C113" s="55">
        <f t="shared" si="39"/>
        <v>15000</v>
      </c>
      <c r="D113" s="54">
        <v>0</v>
      </c>
      <c r="E113" s="54">
        <f t="shared" si="40"/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15000</v>
      </c>
      <c r="K113" s="54">
        <v>0</v>
      </c>
    </row>
    <row r="114" spans="1:11" ht="12.75">
      <c r="A114" s="5"/>
      <c r="B114" s="124">
        <v>2016</v>
      </c>
      <c r="C114" s="55">
        <f t="shared" si="39"/>
        <v>15000</v>
      </c>
      <c r="D114" s="54">
        <v>0</v>
      </c>
      <c r="E114" s="54">
        <f t="shared" si="40"/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15000</v>
      </c>
      <c r="K114" s="54">
        <v>0</v>
      </c>
    </row>
    <row r="115" spans="1:11" ht="12.75">
      <c r="A115" s="5"/>
      <c r="B115" s="124" t="s">
        <v>325</v>
      </c>
      <c r="C115" s="55">
        <f t="shared" si="39"/>
        <v>60000</v>
      </c>
      <c r="D115" s="54">
        <v>0</v>
      </c>
      <c r="E115" s="54">
        <f t="shared" si="40"/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60000</v>
      </c>
      <c r="K115" s="54"/>
    </row>
    <row r="116" spans="1:11" ht="12.75">
      <c r="A116" s="5"/>
      <c r="B116" s="123" t="s">
        <v>288</v>
      </c>
      <c r="C116" s="55">
        <f>D116+E116+I116+J116</f>
        <v>120000</v>
      </c>
      <c r="D116" s="54">
        <v>0</v>
      </c>
      <c r="E116" s="54">
        <f>SUM(E117:E121)</f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f>J117+J118+J119+J120+J121+J122</f>
        <v>120000</v>
      </c>
      <c r="K116" s="54">
        <v>0</v>
      </c>
    </row>
    <row r="117" spans="1:11" ht="12.75">
      <c r="A117" s="5"/>
      <c r="B117" s="124">
        <v>2012</v>
      </c>
      <c r="C117" s="55">
        <f aca="true" t="shared" si="41" ref="C117:C122">D117+E117+I117+J117</f>
        <v>10000</v>
      </c>
      <c r="D117" s="54">
        <v>0</v>
      </c>
      <c r="E117" s="54">
        <f aca="true" t="shared" si="42" ref="E117:E122">F117+G117+H117</f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10000</v>
      </c>
      <c r="K117" s="54">
        <v>0</v>
      </c>
    </row>
    <row r="118" spans="1:11" ht="12.75">
      <c r="A118" s="5"/>
      <c r="B118" s="124">
        <v>2013</v>
      </c>
      <c r="C118" s="55">
        <f t="shared" si="41"/>
        <v>12000</v>
      </c>
      <c r="D118" s="54">
        <v>0</v>
      </c>
      <c r="E118" s="54">
        <f t="shared" si="42"/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12000</v>
      </c>
      <c r="K118" s="54">
        <v>0</v>
      </c>
    </row>
    <row r="119" spans="1:11" ht="12.75">
      <c r="A119" s="5"/>
      <c r="B119" s="124">
        <v>2014</v>
      </c>
      <c r="C119" s="55">
        <f t="shared" si="41"/>
        <v>14000</v>
      </c>
      <c r="D119" s="54">
        <v>0</v>
      </c>
      <c r="E119" s="54">
        <f t="shared" si="42"/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14000</v>
      </c>
      <c r="K119" s="54">
        <v>0</v>
      </c>
    </row>
    <row r="120" spans="1:11" ht="12.75">
      <c r="A120" s="5"/>
      <c r="B120" s="124">
        <v>2015</v>
      </c>
      <c r="C120" s="55">
        <f t="shared" si="41"/>
        <v>14000</v>
      </c>
      <c r="D120" s="54">
        <v>0</v>
      </c>
      <c r="E120" s="54">
        <f t="shared" si="42"/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14000</v>
      </c>
      <c r="K120" s="54">
        <v>0</v>
      </c>
    </row>
    <row r="121" spans="1:11" ht="12.75">
      <c r="A121" s="5"/>
      <c r="B121" s="124">
        <v>2016</v>
      </c>
      <c r="C121" s="55">
        <f t="shared" si="41"/>
        <v>14000</v>
      </c>
      <c r="D121" s="54">
        <v>0</v>
      </c>
      <c r="E121" s="54">
        <f t="shared" si="42"/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14000</v>
      </c>
      <c r="K121" s="54">
        <v>0</v>
      </c>
    </row>
    <row r="122" spans="1:11" ht="12.75">
      <c r="A122" s="5"/>
      <c r="B122" s="124" t="s">
        <v>325</v>
      </c>
      <c r="C122" s="55">
        <f t="shared" si="41"/>
        <v>56000</v>
      </c>
      <c r="D122" s="54">
        <v>0</v>
      </c>
      <c r="E122" s="54">
        <f t="shared" si="42"/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56000</v>
      </c>
      <c r="K122" s="54"/>
    </row>
    <row r="123" spans="1:11" ht="17.25" customHeight="1">
      <c r="A123" s="5"/>
      <c r="B123" s="123" t="s">
        <v>289</v>
      </c>
      <c r="C123" s="55">
        <f>D123+E123+I123+J123</f>
        <v>14000</v>
      </c>
      <c r="D123" s="54">
        <v>0</v>
      </c>
      <c r="E123" s="54">
        <f>SUM(E124:E128)</f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f>J124+J125+J126+J127+J128+J129</f>
        <v>14000</v>
      </c>
      <c r="K123" s="54">
        <v>0</v>
      </c>
    </row>
    <row r="124" spans="1:11" ht="12.75">
      <c r="A124" s="5"/>
      <c r="B124" s="124">
        <v>2012</v>
      </c>
      <c r="C124" s="55">
        <f aca="true" t="shared" si="43" ref="C124:C129">D124+E124+I124+J124</f>
        <v>2000</v>
      </c>
      <c r="D124" s="54">
        <v>0</v>
      </c>
      <c r="E124" s="54">
        <f aca="true" t="shared" si="44" ref="E124:E129">F124+G124+H124</f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2000</v>
      </c>
      <c r="K124" s="54">
        <v>0</v>
      </c>
    </row>
    <row r="125" spans="1:11" ht="12.75">
      <c r="A125" s="5"/>
      <c r="B125" s="124">
        <v>2013</v>
      </c>
      <c r="C125" s="55">
        <f t="shared" si="43"/>
        <v>2000</v>
      </c>
      <c r="D125" s="54">
        <v>0</v>
      </c>
      <c r="E125" s="54">
        <f t="shared" si="44"/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2000</v>
      </c>
      <c r="K125" s="54">
        <v>0</v>
      </c>
    </row>
    <row r="126" spans="1:11" ht="12.75">
      <c r="A126" s="5"/>
      <c r="B126" s="124">
        <v>2014</v>
      </c>
      <c r="C126" s="55">
        <f t="shared" si="43"/>
        <v>2000</v>
      </c>
      <c r="D126" s="54">
        <v>0</v>
      </c>
      <c r="E126" s="54">
        <f t="shared" si="44"/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2000</v>
      </c>
      <c r="K126" s="54">
        <v>0</v>
      </c>
    </row>
    <row r="127" spans="1:11" ht="12.75">
      <c r="A127" s="5"/>
      <c r="B127" s="124">
        <v>2015</v>
      </c>
      <c r="C127" s="55">
        <f t="shared" si="43"/>
        <v>2000</v>
      </c>
      <c r="D127" s="54">
        <v>0</v>
      </c>
      <c r="E127" s="54">
        <f t="shared" si="44"/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2000</v>
      </c>
      <c r="K127" s="54">
        <v>0</v>
      </c>
    </row>
    <row r="128" spans="1:11" ht="12.75">
      <c r="A128" s="5"/>
      <c r="B128" s="124">
        <v>2016</v>
      </c>
      <c r="C128" s="55">
        <f t="shared" si="43"/>
        <v>2000</v>
      </c>
      <c r="D128" s="54">
        <v>0</v>
      </c>
      <c r="E128" s="54">
        <f t="shared" si="44"/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2000</v>
      </c>
      <c r="K128" s="54">
        <v>0</v>
      </c>
    </row>
    <row r="129" spans="1:11" ht="12.75">
      <c r="A129" s="5"/>
      <c r="B129" s="124" t="s">
        <v>325</v>
      </c>
      <c r="C129" s="55">
        <f t="shared" si="43"/>
        <v>4000</v>
      </c>
      <c r="D129" s="54">
        <v>0</v>
      </c>
      <c r="E129" s="54">
        <f t="shared" si="44"/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4000</v>
      </c>
      <c r="K129" s="54"/>
    </row>
    <row r="130" spans="1:11" ht="55.5" customHeight="1">
      <c r="A130" s="5"/>
      <c r="B130" s="123" t="s">
        <v>290</v>
      </c>
      <c r="C130" s="55">
        <f>D130+E130+I130+J130</f>
        <v>2500</v>
      </c>
      <c r="D130" s="54">
        <v>0</v>
      </c>
      <c r="E130" s="54">
        <f>SUM(E131:E135)</f>
        <v>0</v>
      </c>
      <c r="F130" s="54">
        <v>0</v>
      </c>
      <c r="G130" s="54">
        <v>0</v>
      </c>
      <c r="H130" s="54">
        <f>SUM(H131:H135)</f>
        <v>0</v>
      </c>
      <c r="I130" s="54">
        <v>0</v>
      </c>
      <c r="J130" s="54">
        <f>J131+J132+J133+J134+J135+J136</f>
        <v>2500</v>
      </c>
      <c r="K130" s="54">
        <v>0</v>
      </c>
    </row>
    <row r="131" spans="1:11" ht="12.75">
      <c r="A131" s="5"/>
      <c r="B131" s="124">
        <v>2012</v>
      </c>
      <c r="C131" s="55">
        <f aca="true" t="shared" si="45" ref="C131:C136">D131+E131+I131+J131</f>
        <v>500</v>
      </c>
      <c r="D131" s="54">
        <v>0</v>
      </c>
      <c r="E131" s="54">
        <f aca="true" t="shared" si="46" ref="E131:E136">F131+G131+H131</f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500</v>
      </c>
      <c r="K131" s="54">
        <v>0</v>
      </c>
    </row>
    <row r="132" spans="1:11" ht="12.75">
      <c r="A132" s="5"/>
      <c r="B132" s="124">
        <v>2013</v>
      </c>
      <c r="C132" s="55">
        <f t="shared" si="45"/>
        <v>0</v>
      </c>
      <c r="D132" s="54">
        <v>0</v>
      </c>
      <c r="E132" s="54">
        <f t="shared" si="46"/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</row>
    <row r="133" spans="1:11" ht="12.75">
      <c r="A133" s="5"/>
      <c r="B133" s="124">
        <v>2014</v>
      </c>
      <c r="C133" s="55">
        <f t="shared" si="45"/>
        <v>500</v>
      </c>
      <c r="D133" s="54">
        <v>0</v>
      </c>
      <c r="E133" s="54">
        <f t="shared" si="46"/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500</v>
      </c>
      <c r="K133" s="54">
        <v>0</v>
      </c>
    </row>
    <row r="134" spans="1:11" ht="12.75">
      <c r="A134" s="5"/>
      <c r="B134" s="124">
        <v>2015</v>
      </c>
      <c r="C134" s="55">
        <f t="shared" si="45"/>
        <v>0</v>
      </c>
      <c r="D134" s="54">
        <v>0</v>
      </c>
      <c r="E134" s="54">
        <f t="shared" si="46"/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</row>
    <row r="135" spans="1:11" ht="12.75">
      <c r="A135" s="5"/>
      <c r="B135" s="124">
        <v>2016</v>
      </c>
      <c r="C135" s="55">
        <f t="shared" si="45"/>
        <v>500</v>
      </c>
      <c r="D135" s="54">
        <v>0</v>
      </c>
      <c r="E135" s="54">
        <f t="shared" si="46"/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500</v>
      </c>
      <c r="K135" s="54">
        <v>0</v>
      </c>
    </row>
    <row r="136" spans="1:11" ht="12.75">
      <c r="A136" s="5"/>
      <c r="B136" s="124" t="s">
        <v>325</v>
      </c>
      <c r="C136" s="55">
        <f t="shared" si="45"/>
        <v>1000</v>
      </c>
      <c r="D136" s="54">
        <v>0</v>
      </c>
      <c r="E136" s="54">
        <f t="shared" si="46"/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1000</v>
      </c>
      <c r="K136" s="54"/>
    </row>
    <row r="137" spans="1:11" ht="25.5">
      <c r="A137" s="5"/>
      <c r="B137" s="123" t="s">
        <v>291</v>
      </c>
      <c r="C137" s="55">
        <f>D137+E137+I137+J137</f>
        <v>1800</v>
      </c>
      <c r="D137" s="54">
        <v>0</v>
      </c>
      <c r="E137" s="54">
        <f>SUM(E138:E142)</f>
        <v>0</v>
      </c>
      <c r="F137" s="54">
        <v>0</v>
      </c>
      <c r="G137" s="54">
        <v>0</v>
      </c>
      <c r="H137" s="54">
        <f>SUM(H138:H142)</f>
        <v>0</v>
      </c>
      <c r="I137" s="54">
        <v>0</v>
      </c>
      <c r="J137" s="54">
        <f>J138+J139+J140+J141+J142+J143</f>
        <v>1800</v>
      </c>
      <c r="K137" s="54">
        <v>0</v>
      </c>
    </row>
    <row r="138" spans="1:11" ht="12.75">
      <c r="A138" s="5"/>
      <c r="B138" s="124">
        <v>2012</v>
      </c>
      <c r="C138" s="55">
        <f aca="true" t="shared" si="47" ref="C138:C143">D138+E138+I138+J138</f>
        <v>200</v>
      </c>
      <c r="D138" s="54">
        <v>0</v>
      </c>
      <c r="E138" s="54">
        <f aca="true" t="shared" si="48" ref="E138:E143">F138+G138+H138</f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200</v>
      </c>
      <c r="K138" s="112">
        <v>0</v>
      </c>
    </row>
    <row r="139" spans="1:11" ht="12.75">
      <c r="A139" s="5"/>
      <c r="B139" s="124">
        <v>2013</v>
      </c>
      <c r="C139" s="55">
        <f t="shared" si="47"/>
        <v>200</v>
      </c>
      <c r="D139" s="54">
        <v>0</v>
      </c>
      <c r="E139" s="54">
        <f t="shared" si="48"/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200</v>
      </c>
      <c r="K139" s="112">
        <v>0</v>
      </c>
    </row>
    <row r="140" spans="1:11" ht="12.75">
      <c r="A140" s="5"/>
      <c r="B140" s="124">
        <v>2014</v>
      </c>
      <c r="C140" s="55">
        <f t="shared" si="47"/>
        <v>200</v>
      </c>
      <c r="D140" s="54">
        <v>0</v>
      </c>
      <c r="E140" s="54">
        <f t="shared" si="48"/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200</v>
      </c>
      <c r="K140" s="112">
        <v>0</v>
      </c>
    </row>
    <row r="141" spans="1:11" ht="12.75">
      <c r="A141" s="5"/>
      <c r="B141" s="124">
        <v>2015</v>
      </c>
      <c r="C141" s="55">
        <f t="shared" si="47"/>
        <v>200</v>
      </c>
      <c r="D141" s="54">
        <v>0</v>
      </c>
      <c r="E141" s="54">
        <f t="shared" si="48"/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200</v>
      </c>
      <c r="K141" s="112">
        <v>0</v>
      </c>
    </row>
    <row r="142" spans="1:11" ht="12.75">
      <c r="A142" s="5"/>
      <c r="B142" s="124">
        <v>2016</v>
      </c>
      <c r="C142" s="55">
        <f t="shared" si="47"/>
        <v>200</v>
      </c>
      <c r="D142" s="54">
        <v>0</v>
      </c>
      <c r="E142" s="54">
        <f t="shared" si="48"/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200</v>
      </c>
      <c r="K142" s="112">
        <v>0</v>
      </c>
    </row>
    <row r="143" spans="1:11" ht="12.75">
      <c r="A143" s="5"/>
      <c r="B143" s="124" t="s">
        <v>325</v>
      </c>
      <c r="C143" s="55">
        <f t="shared" si="47"/>
        <v>800</v>
      </c>
      <c r="D143" s="54">
        <v>0</v>
      </c>
      <c r="E143" s="54">
        <f t="shared" si="48"/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800</v>
      </c>
      <c r="K143" s="112"/>
    </row>
    <row r="144" spans="1:11" ht="16.5" customHeight="1">
      <c r="A144" s="5"/>
      <c r="B144" s="123" t="s">
        <v>292</v>
      </c>
      <c r="C144" s="55">
        <f>D144+E144+I144+J144</f>
        <v>200000</v>
      </c>
      <c r="D144" s="54">
        <v>0</v>
      </c>
      <c r="E144" s="54">
        <f>SUM(E145:E149)</f>
        <v>0</v>
      </c>
      <c r="F144" s="54">
        <v>0</v>
      </c>
      <c r="G144" s="54">
        <v>0</v>
      </c>
      <c r="H144" s="54">
        <f>SUM(H145:H149)</f>
        <v>0</v>
      </c>
      <c r="I144" s="54">
        <v>0</v>
      </c>
      <c r="J144" s="54">
        <f>J145+J146+J147+J148+J149+J150</f>
        <v>200000</v>
      </c>
      <c r="K144" s="54">
        <v>0</v>
      </c>
    </row>
    <row r="145" spans="1:11" ht="12.75">
      <c r="A145" s="5"/>
      <c r="B145" s="124">
        <v>2012</v>
      </c>
      <c r="C145" s="55">
        <f aca="true" t="shared" si="49" ref="C145:C150">D145+E145+I145+J145</f>
        <v>20000</v>
      </c>
      <c r="D145" s="54">
        <v>0</v>
      </c>
      <c r="E145" s="54">
        <f aca="true" t="shared" si="50" ref="E145:E150">F145+G145+H145</f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20000</v>
      </c>
      <c r="K145" s="54">
        <v>0</v>
      </c>
    </row>
    <row r="146" spans="1:11" ht="12.75">
      <c r="A146" s="5"/>
      <c r="B146" s="124">
        <v>2013</v>
      </c>
      <c r="C146" s="55">
        <f t="shared" si="49"/>
        <v>20000</v>
      </c>
      <c r="D146" s="54">
        <v>0</v>
      </c>
      <c r="E146" s="54">
        <f t="shared" si="50"/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20000</v>
      </c>
      <c r="K146" s="54">
        <v>0</v>
      </c>
    </row>
    <row r="147" spans="1:11" ht="12.75">
      <c r="A147" s="5"/>
      <c r="B147" s="124">
        <v>2014</v>
      </c>
      <c r="C147" s="55">
        <f t="shared" si="49"/>
        <v>20000</v>
      </c>
      <c r="D147" s="54">
        <v>0</v>
      </c>
      <c r="E147" s="54">
        <f t="shared" si="50"/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20000</v>
      </c>
      <c r="K147" s="54">
        <v>0</v>
      </c>
    </row>
    <row r="148" spans="1:11" ht="12.75">
      <c r="A148" s="5"/>
      <c r="B148" s="124">
        <v>2015</v>
      </c>
      <c r="C148" s="55">
        <f t="shared" si="49"/>
        <v>20000</v>
      </c>
      <c r="D148" s="54">
        <v>0</v>
      </c>
      <c r="E148" s="54">
        <f t="shared" si="50"/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20000</v>
      </c>
      <c r="K148" s="54">
        <v>0</v>
      </c>
    </row>
    <row r="149" spans="1:11" ht="12.75">
      <c r="A149" s="5"/>
      <c r="B149" s="124">
        <v>2016</v>
      </c>
      <c r="C149" s="55">
        <f t="shared" si="49"/>
        <v>20000</v>
      </c>
      <c r="D149" s="54">
        <v>0</v>
      </c>
      <c r="E149" s="54">
        <f t="shared" si="50"/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20000</v>
      </c>
      <c r="K149" s="54">
        <v>0</v>
      </c>
    </row>
    <row r="150" spans="1:11" ht="12.75">
      <c r="A150" s="5"/>
      <c r="B150" s="124" t="s">
        <v>325</v>
      </c>
      <c r="C150" s="55">
        <f t="shared" si="49"/>
        <v>100000</v>
      </c>
      <c r="D150" s="54">
        <v>0</v>
      </c>
      <c r="E150" s="54">
        <f t="shared" si="50"/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100000</v>
      </c>
      <c r="K150" s="54"/>
    </row>
    <row r="151" spans="1:11" ht="18.75" customHeight="1">
      <c r="A151" s="5"/>
      <c r="B151" s="123" t="s">
        <v>293</v>
      </c>
      <c r="C151" s="55">
        <f>D151+E151+I151+J151</f>
        <v>32500</v>
      </c>
      <c r="D151" s="54">
        <v>0</v>
      </c>
      <c r="E151" s="54">
        <f>SUM(E152:E156)</f>
        <v>0</v>
      </c>
      <c r="F151" s="54">
        <v>0</v>
      </c>
      <c r="G151" s="54">
        <v>0</v>
      </c>
      <c r="H151" s="54">
        <f>SUM(H152:H156)</f>
        <v>0</v>
      </c>
      <c r="I151" s="54">
        <v>0</v>
      </c>
      <c r="J151" s="54">
        <f>J152+J153+J154+J155+J156+J157</f>
        <v>32500</v>
      </c>
      <c r="K151" s="54">
        <v>0</v>
      </c>
    </row>
    <row r="152" spans="1:11" ht="12.75">
      <c r="A152" s="5"/>
      <c r="B152" s="124">
        <v>2012</v>
      </c>
      <c r="C152" s="55">
        <f aca="true" t="shared" si="51" ref="C152:C157">D152+E152+I152+J152</f>
        <v>3300</v>
      </c>
      <c r="D152" s="54">
        <v>0</v>
      </c>
      <c r="E152" s="54">
        <f aca="true" t="shared" si="52" ref="E152:E157">F152+G152+H152</f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3300</v>
      </c>
      <c r="K152" s="54">
        <v>0</v>
      </c>
    </row>
    <row r="153" spans="1:11" ht="12.75">
      <c r="A153" s="5"/>
      <c r="B153" s="124">
        <v>2013</v>
      </c>
      <c r="C153" s="55">
        <f t="shared" si="51"/>
        <v>3300</v>
      </c>
      <c r="D153" s="54">
        <v>0</v>
      </c>
      <c r="E153" s="54">
        <f t="shared" si="52"/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3300</v>
      </c>
      <c r="K153" s="54">
        <v>0</v>
      </c>
    </row>
    <row r="154" spans="1:11" ht="12.75">
      <c r="A154" s="5"/>
      <c r="B154" s="124">
        <v>2014</v>
      </c>
      <c r="C154" s="55">
        <f t="shared" si="51"/>
        <v>3300</v>
      </c>
      <c r="D154" s="54">
        <v>0</v>
      </c>
      <c r="E154" s="54">
        <f t="shared" si="52"/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3300</v>
      </c>
      <c r="K154" s="54">
        <v>0</v>
      </c>
    </row>
    <row r="155" spans="1:11" ht="12.75">
      <c r="A155" s="5"/>
      <c r="B155" s="124">
        <v>2015</v>
      </c>
      <c r="C155" s="55">
        <f t="shared" si="51"/>
        <v>3300</v>
      </c>
      <c r="D155" s="54">
        <v>0</v>
      </c>
      <c r="E155" s="54">
        <f t="shared" si="52"/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3300</v>
      </c>
      <c r="K155" s="54">
        <v>0</v>
      </c>
    </row>
    <row r="156" spans="1:11" ht="12.75">
      <c r="A156" s="5"/>
      <c r="B156" s="124">
        <v>2016</v>
      </c>
      <c r="C156" s="55">
        <f t="shared" si="51"/>
        <v>3300</v>
      </c>
      <c r="D156" s="54">
        <v>0</v>
      </c>
      <c r="E156" s="54">
        <f t="shared" si="52"/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3300</v>
      </c>
      <c r="K156" s="54">
        <v>0</v>
      </c>
    </row>
    <row r="157" spans="1:11" ht="12.75">
      <c r="A157" s="5"/>
      <c r="B157" s="124" t="s">
        <v>325</v>
      </c>
      <c r="C157" s="55">
        <f t="shared" si="51"/>
        <v>16000</v>
      </c>
      <c r="D157" s="54">
        <v>0</v>
      </c>
      <c r="E157" s="54">
        <f t="shared" si="52"/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16000</v>
      </c>
      <c r="K157" s="54"/>
    </row>
    <row r="158" spans="1:11" ht="29.25" customHeight="1">
      <c r="A158" s="5"/>
      <c r="B158" s="123" t="s">
        <v>294</v>
      </c>
      <c r="C158" s="54">
        <f>C159+C166+C173+C180+C187+C194+C201+C208+C215</f>
        <v>3050600</v>
      </c>
      <c r="D158" s="54">
        <v>0</v>
      </c>
      <c r="E158" s="54">
        <f>E159+E166+E173+E180+E187+E194+E201+E208+E215</f>
        <v>30000</v>
      </c>
      <c r="F158" s="54">
        <f>F159+F166+F173+F180+F187+F194+F201+F208+F215</f>
        <v>30000</v>
      </c>
      <c r="G158" s="54">
        <f>G159+G166+G173+G180+G187+G194+G201+G208+G215</f>
        <v>0</v>
      </c>
      <c r="H158" s="54">
        <f>H159+H166+H173+H180+H187+H194+H201+H208+H215</f>
        <v>0</v>
      </c>
      <c r="I158" s="54">
        <v>0</v>
      </c>
      <c r="J158" s="54">
        <v>0</v>
      </c>
      <c r="K158" s="54">
        <v>0</v>
      </c>
    </row>
    <row r="159" spans="1:11" ht="30" customHeight="1">
      <c r="A159" s="5"/>
      <c r="B159" s="123" t="s">
        <v>295</v>
      </c>
      <c r="C159" s="55">
        <f>D159+E159+I159+J159</f>
        <v>5000</v>
      </c>
      <c r="D159" s="54">
        <v>0</v>
      </c>
      <c r="E159" s="54">
        <f>SUM(E160:E164)</f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f>J160+J161+J162+J163+J164+J165</f>
        <v>5000</v>
      </c>
      <c r="K159" s="54">
        <v>0</v>
      </c>
    </row>
    <row r="160" spans="1:11" ht="12.75">
      <c r="A160" s="5"/>
      <c r="B160" s="124">
        <v>2012</v>
      </c>
      <c r="C160" s="55">
        <f aca="true" t="shared" si="53" ref="C160:C224">D160+E160+I160+J160</f>
        <v>5000</v>
      </c>
      <c r="D160" s="54">
        <v>0</v>
      </c>
      <c r="E160" s="54">
        <f aca="true" t="shared" si="54" ref="E160:E165">G160</f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5000</v>
      </c>
      <c r="K160" s="54">
        <v>0</v>
      </c>
    </row>
    <row r="161" spans="1:11" ht="12.75">
      <c r="A161" s="5"/>
      <c r="B161" s="124">
        <v>2013</v>
      </c>
      <c r="C161" s="55">
        <f t="shared" si="53"/>
        <v>0</v>
      </c>
      <c r="D161" s="54">
        <v>0</v>
      </c>
      <c r="E161" s="54">
        <f t="shared" si="54"/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</row>
    <row r="162" spans="1:11" ht="12.75">
      <c r="A162" s="5"/>
      <c r="B162" s="124">
        <v>2014</v>
      </c>
      <c r="C162" s="55">
        <f t="shared" si="53"/>
        <v>0</v>
      </c>
      <c r="D162" s="54">
        <v>0</v>
      </c>
      <c r="E162" s="54">
        <f t="shared" si="54"/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</row>
    <row r="163" spans="1:11" ht="12.75">
      <c r="A163" s="5"/>
      <c r="B163" s="124">
        <v>2015</v>
      </c>
      <c r="C163" s="55">
        <f t="shared" si="53"/>
        <v>0</v>
      </c>
      <c r="D163" s="54">
        <v>0</v>
      </c>
      <c r="E163" s="54">
        <f t="shared" si="54"/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</row>
    <row r="164" spans="1:11" ht="12.75">
      <c r="A164" s="5"/>
      <c r="B164" s="124">
        <v>2016</v>
      </c>
      <c r="C164" s="55">
        <f t="shared" si="53"/>
        <v>0</v>
      </c>
      <c r="D164" s="54">
        <v>0</v>
      </c>
      <c r="E164" s="54">
        <f t="shared" si="54"/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</row>
    <row r="165" spans="1:11" ht="12.75">
      <c r="A165" s="5"/>
      <c r="B165" s="124" t="s">
        <v>325</v>
      </c>
      <c r="C165" s="55">
        <f t="shared" si="53"/>
        <v>0</v>
      </c>
      <c r="D165" s="54">
        <v>0</v>
      </c>
      <c r="E165" s="54">
        <f t="shared" si="54"/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/>
    </row>
    <row r="166" spans="1:11" ht="25.5">
      <c r="A166" s="5"/>
      <c r="B166" s="123" t="s">
        <v>296</v>
      </c>
      <c r="C166" s="55">
        <f>D166+E166+I166+J166</f>
        <v>31800</v>
      </c>
      <c r="D166" s="54">
        <v>0</v>
      </c>
      <c r="E166" s="54">
        <f>SUM(E167:E171)</f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f>J167+J168+J169+J170+J171+J172</f>
        <v>31800</v>
      </c>
      <c r="K166" s="54">
        <v>0</v>
      </c>
    </row>
    <row r="167" spans="1:11" ht="12.75">
      <c r="A167" s="5"/>
      <c r="B167" s="124">
        <v>2012</v>
      </c>
      <c r="C167" s="55">
        <f t="shared" si="53"/>
        <v>15000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15000</v>
      </c>
      <c r="K167" s="54">
        <v>0</v>
      </c>
    </row>
    <row r="168" spans="1:11" ht="12.75">
      <c r="A168" s="5"/>
      <c r="B168" s="124">
        <v>2013</v>
      </c>
      <c r="C168" s="55">
        <f t="shared" si="53"/>
        <v>2800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2800</v>
      </c>
      <c r="K168" s="54">
        <v>0</v>
      </c>
    </row>
    <row r="169" spans="1:11" ht="12.75">
      <c r="A169" s="5"/>
      <c r="B169" s="124">
        <v>2014</v>
      </c>
      <c r="C169" s="55">
        <f t="shared" si="53"/>
        <v>2800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2800</v>
      </c>
      <c r="K169" s="54">
        <v>0</v>
      </c>
    </row>
    <row r="170" spans="1:11" ht="12.75">
      <c r="A170" s="5"/>
      <c r="B170" s="124">
        <v>2015</v>
      </c>
      <c r="C170" s="55">
        <f t="shared" si="53"/>
        <v>2800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2800</v>
      </c>
      <c r="K170" s="54">
        <v>0</v>
      </c>
    </row>
    <row r="171" spans="1:11" ht="12.75">
      <c r="A171" s="5"/>
      <c r="B171" s="124">
        <v>2016</v>
      </c>
      <c r="C171" s="55">
        <f t="shared" si="53"/>
        <v>2800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2800</v>
      </c>
      <c r="K171" s="54">
        <v>0</v>
      </c>
    </row>
    <row r="172" spans="1:11" ht="12.75">
      <c r="A172" s="5"/>
      <c r="B172" s="124" t="s">
        <v>325</v>
      </c>
      <c r="C172" s="55">
        <f t="shared" si="53"/>
        <v>5600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5600</v>
      </c>
      <c r="K172" s="54"/>
    </row>
    <row r="173" spans="1:11" ht="25.5">
      <c r="A173" s="5"/>
      <c r="B173" s="123" t="s">
        <v>297</v>
      </c>
      <c r="C173" s="55">
        <f>D173+E173+I173+J173</f>
        <v>17300</v>
      </c>
      <c r="D173" s="54">
        <v>0</v>
      </c>
      <c r="E173" s="54">
        <f>SUM(E174:E178)</f>
        <v>0</v>
      </c>
      <c r="F173" s="54">
        <v>0</v>
      </c>
      <c r="G173" s="54">
        <v>0</v>
      </c>
      <c r="H173" s="54">
        <v>0</v>
      </c>
      <c r="I173" s="54">
        <v>0</v>
      </c>
      <c r="J173" s="54">
        <f>J174+J175+J176+J177+J178+J179</f>
        <v>17300</v>
      </c>
      <c r="K173" s="54">
        <v>0</v>
      </c>
    </row>
    <row r="174" spans="1:11" ht="12.75">
      <c r="A174" s="5"/>
      <c r="B174" s="124">
        <v>2012</v>
      </c>
      <c r="C174" s="55">
        <f t="shared" si="53"/>
        <v>2900</v>
      </c>
      <c r="D174" s="54">
        <v>0</v>
      </c>
      <c r="E174" s="54">
        <f aca="true" t="shared" si="55" ref="E174:E179">G174</f>
        <v>0</v>
      </c>
      <c r="F174" s="54">
        <v>0</v>
      </c>
      <c r="G174" s="54">
        <v>0</v>
      </c>
      <c r="H174" s="54">
        <v>0</v>
      </c>
      <c r="I174" s="54">
        <v>0</v>
      </c>
      <c r="J174" s="54">
        <v>2900</v>
      </c>
      <c r="K174" s="54">
        <v>0</v>
      </c>
    </row>
    <row r="175" spans="1:11" ht="12.75">
      <c r="A175" s="5"/>
      <c r="B175" s="124">
        <v>2013</v>
      </c>
      <c r="C175" s="55">
        <f t="shared" si="53"/>
        <v>1800</v>
      </c>
      <c r="D175" s="54">
        <v>0</v>
      </c>
      <c r="E175" s="54">
        <f t="shared" si="55"/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1800</v>
      </c>
      <c r="K175" s="54">
        <v>0</v>
      </c>
    </row>
    <row r="176" spans="1:11" ht="12.75">
      <c r="A176" s="5"/>
      <c r="B176" s="124">
        <v>2014</v>
      </c>
      <c r="C176" s="55">
        <f t="shared" si="53"/>
        <v>1800</v>
      </c>
      <c r="D176" s="54">
        <v>0</v>
      </c>
      <c r="E176" s="54">
        <f t="shared" si="55"/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1800</v>
      </c>
      <c r="K176" s="54">
        <v>0</v>
      </c>
    </row>
    <row r="177" spans="1:11" ht="12.75">
      <c r="A177" s="5"/>
      <c r="B177" s="124">
        <v>2015</v>
      </c>
      <c r="C177" s="55">
        <f t="shared" si="53"/>
        <v>1800</v>
      </c>
      <c r="D177" s="54">
        <v>0</v>
      </c>
      <c r="E177" s="54">
        <f t="shared" si="55"/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1800</v>
      </c>
      <c r="K177" s="54">
        <v>0</v>
      </c>
    </row>
    <row r="178" spans="1:11" ht="12.75">
      <c r="A178" s="5"/>
      <c r="B178" s="124">
        <v>2016</v>
      </c>
      <c r="C178" s="55">
        <f t="shared" si="53"/>
        <v>1800</v>
      </c>
      <c r="D178" s="54">
        <v>0</v>
      </c>
      <c r="E178" s="54">
        <f t="shared" si="55"/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1800</v>
      </c>
      <c r="K178" s="54">
        <v>0</v>
      </c>
    </row>
    <row r="179" spans="1:11" ht="12.75">
      <c r="A179" s="5"/>
      <c r="B179" s="124" t="s">
        <v>325</v>
      </c>
      <c r="C179" s="55">
        <f t="shared" si="53"/>
        <v>7200</v>
      </c>
      <c r="D179" s="54">
        <v>0</v>
      </c>
      <c r="E179" s="54">
        <f t="shared" si="55"/>
        <v>0</v>
      </c>
      <c r="F179" s="54">
        <v>0</v>
      </c>
      <c r="G179" s="54">
        <v>0</v>
      </c>
      <c r="H179" s="54">
        <v>0</v>
      </c>
      <c r="I179" s="54">
        <v>0</v>
      </c>
      <c r="J179" s="54">
        <v>7200</v>
      </c>
      <c r="K179" s="54"/>
    </row>
    <row r="180" spans="1:11" ht="17.25" customHeight="1">
      <c r="A180" s="5"/>
      <c r="B180" s="123" t="s">
        <v>298</v>
      </c>
      <c r="C180" s="55">
        <f>D180+E180+I180+J180</f>
        <v>160000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f>J181+J182+J183+J184+J185+J186</f>
        <v>160000</v>
      </c>
      <c r="K180" s="54">
        <v>0</v>
      </c>
    </row>
    <row r="181" spans="1:11" ht="12.75">
      <c r="A181" s="5"/>
      <c r="B181" s="124">
        <v>2012</v>
      </c>
      <c r="C181" s="55">
        <f t="shared" si="53"/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</row>
    <row r="182" spans="1:11" ht="12.75">
      <c r="A182" s="5"/>
      <c r="B182" s="124">
        <v>2013</v>
      </c>
      <c r="C182" s="55">
        <f t="shared" si="53"/>
        <v>20000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4">
        <v>20000</v>
      </c>
      <c r="K182" s="54">
        <v>0</v>
      </c>
    </row>
    <row r="183" spans="1:11" ht="12.75">
      <c r="A183" s="5"/>
      <c r="B183" s="124">
        <v>2014</v>
      </c>
      <c r="C183" s="55">
        <f t="shared" si="53"/>
        <v>20000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20000</v>
      </c>
      <c r="K183" s="54">
        <v>0</v>
      </c>
    </row>
    <row r="184" spans="1:11" ht="12.75">
      <c r="A184" s="5"/>
      <c r="B184" s="124">
        <v>2015</v>
      </c>
      <c r="C184" s="55">
        <f t="shared" si="53"/>
        <v>20000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20000</v>
      </c>
      <c r="K184" s="54">
        <v>0</v>
      </c>
    </row>
    <row r="185" spans="1:11" ht="12.75">
      <c r="A185" s="5"/>
      <c r="B185" s="124">
        <v>2016</v>
      </c>
      <c r="C185" s="55">
        <f t="shared" si="53"/>
        <v>20000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20000</v>
      </c>
      <c r="K185" s="54">
        <v>0</v>
      </c>
    </row>
    <row r="186" spans="1:11" ht="12.75">
      <c r="A186" s="5"/>
      <c r="B186" s="124" t="s">
        <v>325</v>
      </c>
      <c r="C186" s="55">
        <f t="shared" si="53"/>
        <v>80000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4">
        <v>0</v>
      </c>
      <c r="J186" s="54">
        <v>80000</v>
      </c>
      <c r="K186" s="54"/>
    </row>
    <row r="187" spans="1:11" ht="29.25" customHeight="1">
      <c r="A187" s="5"/>
      <c r="B187" s="123" t="s">
        <v>299</v>
      </c>
      <c r="C187" s="55">
        <f>D187+E187+I187+J187</f>
        <v>35000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f>J188+J189+J190+J191+J192+J193</f>
        <v>35000</v>
      </c>
      <c r="K187" s="54">
        <v>0</v>
      </c>
    </row>
    <row r="188" spans="1:11" ht="12.75">
      <c r="A188" s="5"/>
      <c r="B188" s="124">
        <v>2012</v>
      </c>
      <c r="C188" s="55">
        <f t="shared" si="53"/>
        <v>0</v>
      </c>
      <c r="D188" s="54">
        <v>0</v>
      </c>
      <c r="E188" s="54">
        <f aca="true" t="shared" si="56" ref="E188:E193">G188</f>
        <v>0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</row>
    <row r="189" spans="1:11" ht="12.75">
      <c r="A189" s="5"/>
      <c r="B189" s="124">
        <v>2013</v>
      </c>
      <c r="C189" s="55">
        <f t="shared" si="53"/>
        <v>5000</v>
      </c>
      <c r="D189" s="54">
        <v>0</v>
      </c>
      <c r="E189" s="54">
        <f t="shared" si="56"/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5000</v>
      </c>
      <c r="K189" s="54">
        <v>0</v>
      </c>
    </row>
    <row r="190" spans="1:11" ht="12.75">
      <c r="A190" s="5"/>
      <c r="B190" s="124">
        <v>2014</v>
      </c>
      <c r="C190" s="55">
        <f t="shared" si="53"/>
        <v>5000</v>
      </c>
      <c r="D190" s="54">
        <v>0</v>
      </c>
      <c r="E190" s="54">
        <f t="shared" si="56"/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5000</v>
      </c>
      <c r="K190" s="54">
        <v>0</v>
      </c>
    </row>
    <row r="191" spans="1:11" ht="12.75">
      <c r="A191" s="5"/>
      <c r="B191" s="124">
        <v>2015</v>
      </c>
      <c r="C191" s="55">
        <f t="shared" si="53"/>
        <v>5000</v>
      </c>
      <c r="D191" s="54">
        <v>0</v>
      </c>
      <c r="E191" s="54">
        <f t="shared" si="56"/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5000</v>
      </c>
      <c r="K191" s="54">
        <v>0</v>
      </c>
    </row>
    <row r="192" spans="1:11" ht="12.75">
      <c r="A192" s="5"/>
      <c r="B192" s="124">
        <v>2016</v>
      </c>
      <c r="C192" s="55">
        <f t="shared" si="53"/>
        <v>5000</v>
      </c>
      <c r="D192" s="54">
        <v>0</v>
      </c>
      <c r="E192" s="54">
        <f t="shared" si="56"/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5000</v>
      </c>
      <c r="K192" s="54">
        <v>0</v>
      </c>
    </row>
    <row r="193" spans="1:11" ht="12.75">
      <c r="A193" s="5"/>
      <c r="B193" s="124" t="s">
        <v>325</v>
      </c>
      <c r="C193" s="55">
        <f t="shared" si="53"/>
        <v>15000</v>
      </c>
      <c r="D193" s="54">
        <v>0</v>
      </c>
      <c r="E193" s="54">
        <f t="shared" si="56"/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15000</v>
      </c>
      <c r="K193" s="54"/>
    </row>
    <row r="194" spans="1:11" ht="25.5">
      <c r="A194" s="5"/>
      <c r="B194" s="123" t="s">
        <v>300</v>
      </c>
      <c r="C194" s="55">
        <f>D194+E194+I194+J194</f>
        <v>313000</v>
      </c>
      <c r="D194" s="54"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f>J195+J196+J197+J198+J199+J200</f>
        <v>313000</v>
      </c>
      <c r="K194" s="54">
        <v>0</v>
      </c>
    </row>
    <row r="195" spans="1:11" ht="12.75">
      <c r="A195" s="5"/>
      <c r="B195" s="124">
        <v>2012</v>
      </c>
      <c r="C195" s="55">
        <f t="shared" si="53"/>
        <v>100000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100000</v>
      </c>
      <c r="K195" s="54">
        <v>0</v>
      </c>
    </row>
    <row r="196" spans="1:11" ht="12.75">
      <c r="A196" s="5"/>
      <c r="B196" s="124">
        <v>2013</v>
      </c>
      <c r="C196" s="55">
        <f t="shared" si="53"/>
        <v>100000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100000</v>
      </c>
      <c r="K196" s="54">
        <v>0</v>
      </c>
    </row>
    <row r="197" spans="1:11" ht="12.75">
      <c r="A197" s="5"/>
      <c r="B197" s="124">
        <v>2014</v>
      </c>
      <c r="C197" s="55">
        <f t="shared" si="53"/>
        <v>113000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113000</v>
      </c>
      <c r="K197" s="54">
        <v>0</v>
      </c>
    </row>
    <row r="198" spans="1:11" ht="12.75">
      <c r="A198" s="5"/>
      <c r="B198" s="124">
        <v>2015</v>
      </c>
      <c r="C198" s="55">
        <f t="shared" si="53"/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</row>
    <row r="199" spans="1:11" ht="12.75">
      <c r="A199" s="5"/>
      <c r="B199" s="124">
        <v>2016</v>
      </c>
      <c r="C199" s="55">
        <f t="shared" si="53"/>
        <v>0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</row>
    <row r="200" spans="1:11" ht="12.75">
      <c r="A200" s="5"/>
      <c r="B200" s="124" t="s">
        <v>325</v>
      </c>
      <c r="C200" s="55">
        <f t="shared" si="53"/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0</v>
      </c>
      <c r="I200" s="54">
        <v>0</v>
      </c>
      <c r="J200" s="54">
        <v>0</v>
      </c>
      <c r="K200" s="54"/>
    </row>
    <row r="201" spans="1:11" ht="12.75">
      <c r="A201" s="5"/>
      <c r="B201" s="123" t="s">
        <v>301</v>
      </c>
      <c r="C201" s="55">
        <f>D201+E201+I201+J201</f>
        <v>913500</v>
      </c>
      <c r="D201" s="54">
        <v>0</v>
      </c>
      <c r="E201" s="54">
        <f>SUM(E202:E206)</f>
        <v>0</v>
      </c>
      <c r="F201" s="54">
        <v>0</v>
      </c>
      <c r="G201" s="54">
        <f>SUM(G202:G206)</f>
        <v>0</v>
      </c>
      <c r="H201" s="54">
        <v>0</v>
      </c>
      <c r="I201" s="54">
        <v>0</v>
      </c>
      <c r="J201" s="54">
        <f>J202+J203+J204+J205+J206+J207</f>
        <v>913500</v>
      </c>
      <c r="K201" s="54">
        <v>0</v>
      </c>
    </row>
    <row r="202" spans="1:11" ht="12.75">
      <c r="A202" s="5"/>
      <c r="B202" s="124">
        <v>2012</v>
      </c>
      <c r="C202" s="55">
        <f t="shared" si="53"/>
        <v>102700</v>
      </c>
      <c r="D202" s="54">
        <v>0</v>
      </c>
      <c r="E202" s="54">
        <f aca="true" t="shared" si="57" ref="E202:E207">G202</f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102700</v>
      </c>
      <c r="K202" s="54">
        <v>0</v>
      </c>
    </row>
    <row r="203" spans="1:11" ht="12.75">
      <c r="A203" s="5"/>
      <c r="B203" s="124">
        <v>2013</v>
      </c>
      <c r="C203" s="55">
        <f t="shared" si="53"/>
        <v>102700</v>
      </c>
      <c r="D203" s="54">
        <v>0</v>
      </c>
      <c r="E203" s="54">
        <f t="shared" si="57"/>
        <v>0</v>
      </c>
      <c r="F203" s="54">
        <v>0</v>
      </c>
      <c r="G203" s="54">
        <v>0</v>
      </c>
      <c r="H203" s="54">
        <v>0</v>
      </c>
      <c r="I203" s="54">
        <v>0</v>
      </c>
      <c r="J203" s="54">
        <v>102700</v>
      </c>
      <c r="K203" s="54">
        <v>0</v>
      </c>
    </row>
    <row r="204" spans="1:11" ht="12.75">
      <c r="A204" s="5"/>
      <c r="B204" s="124">
        <v>2014</v>
      </c>
      <c r="C204" s="55">
        <f t="shared" si="53"/>
        <v>102700</v>
      </c>
      <c r="D204" s="54">
        <v>0</v>
      </c>
      <c r="E204" s="54">
        <f t="shared" si="57"/>
        <v>0</v>
      </c>
      <c r="F204" s="54">
        <v>0</v>
      </c>
      <c r="G204" s="54">
        <v>0</v>
      </c>
      <c r="H204" s="54">
        <v>0</v>
      </c>
      <c r="I204" s="54">
        <v>0</v>
      </c>
      <c r="J204" s="54">
        <v>102700</v>
      </c>
      <c r="K204" s="54">
        <v>0</v>
      </c>
    </row>
    <row r="205" spans="1:11" ht="12.75">
      <c r="A205" s="5"/>
      <c r="B205" s="124">
        <v>2015</v>
      </c>
      <c r="C205" s="55">
        <f t="shared" si="53"/>
        <v>102700</v>
      </c>
      <c r="D205" s="54">
        <v>0</v>
      </c>
      <c r="E205" s="54">
        <f t="shared" si="57"/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102700</v>
      </c>
      <c r="K205" s="54">
        <v>0</v>
      </c>
    </row>
    <row r="206" spans="1:11" ht="12.75">
      <c r="A206" s="5"/>
      <c r="B206" s="124">
        <v>2016</v>
      </c>
      <c r="C206" s="55">
        <f t="shared" si="53"/>
        <v>102700</v>
      </c>
      <c r="D206" s="54">
        <v>0</v>
      </c>
      <c r="E206" s="54">
        <f t="shared" si="57"/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102700</v>
      </c>
      <c r="K206" s="54">
        <v>0</v>
      </c>
    </row>
    <row r="207" spans="1:11" ht="12.75">
      <c r="A207" s="5"/>
      <c r="B207" s="124" t="s">
        <v>325</v>
      </c>
      <c r="C207" s="55">
        <f t="shared" si="53"/>
        <v>400000</v>
      </c>
      <c r="D207" s="54">
        <v>0</v>
      </c>
      <c r="E207" s="54">
        <f t="shared" si="57"/>
        <v>0</v>
      </c>
      <c r="F207" s="54">
        <v>0</v>
      </c>
      <c r="G207" s="54">
        <v>0</v>
      </c>
      <c r="H207" s="54">
        <v>0</v>
      </c>
      <c r="I207" s="54">
        <v>0</v>
      </c>
      <c r="J207" s="54">
        <v>400000</v>
      </c>
      <c r="K207" s="54"/>
    </row>
    <row r="208" spans="1:11" ht="17.25" customHeight="1">
      <c r="A208" s="5"/>
      <c r="B208" s="123" t="s">
        <v>302</v>
      </c>
      <c r="C208" s="55">
        <f>D208+E208+I208+J208</f>
        <v>1500000</v>
      </c>
      <c r="D208" s="54">
        <v>0</v>
      </c>
      <c r="E208" s="54">
        <f>SUM(E209:E213)</f>
        <v>0</v>
      </c>
      <c r="F208" s="54">
        <v>0</v>
      </c>
      <c r="G208" s="54">
        <v>0</v>
      </c>
      <c r="H208" s="54">
        <f>E208</f>
        <v>0</v>
      </c>
      <c r="I208" s="54">
        <v>0</v>
      </c>
      <c r="J208" s="54">
        <f>J209+J210+J211+J212+J213+J214</f>
        <v>1500000</v>
      </c>
      <c r="K208" s="54">
        <v>0</v>
      </c>
    </row>
    <row r="209" spans="1:11" ht="12.75">
      <c r="A209" s="5"/>
      <c r="B209" s="124">
        <v>2012</v>
      </c>
      <c r="C209" s="55">
        <f t="shared" si="53"/>
        <v>188000</v>
      </c>
      <c r="D209" s="54">
        <v>0</v>
      </c>
      <c r="E209" s="54">
        <v>0</v>
      </c>
      <c r="F209" s="54">
        <v>0</v>
      </c>
      <c r="G209" s="54">
        <v>0</v>
      </c>
      <c r="H209" s="54">
        <f>E209</f>
        <v>0</v>
      </c>
      <c r="I209" s="54">
        <v>0</v>
      </c>
      <c r="J209" s="54">
        <v>188000</v>
      </c>
      <c r="K209" s="54">
        <v>0</v>
      </c>
    </row>
    <row r="210" spans="1:11" ht="12.75">
      <c r="A210" s="5"/>
      <c r="B210" s="124">
        <v>2013</v>
      </c>
      <c r="C210" s="55">
        <f t="shared" si="53"/>
        <v>188000</v>
      </c>
      <c r="D210" s="54">
        <v>0</v>
      </c>
      <c r="E210" s="54">
        <v>0</v>
      </c>
      <c r="F210" s="54">
        <v>0</v>
      </c>
      <c r="G210" s="54">
        <v>0</v>
      </c>
      <c r="H210" s="54">
        <f>E210</f>
        <v>0</v>
      </c>
      <c r="I210" s="54">
        <v>0</v>
      </c>
      <c r="J210" s="54">
        <v>188000</v>
      </c>
      <c r="K210" s="54">
        <v>0</v>
      </c>
    </row>
    <row r="211" spans="1:11" ht="12.75">
      <c r="A211" s="5"/>
      <c r="B211" s="124">
        <v>2014</v>
      </c>
      <c r="C211" s="55">
        <f t="shared" si="53"/>
        <v>188000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188000</v>
      </c>
      <c r="K211" s="54">
        <v>0</v>
      </c>
    </row>
    <row r="212" spans="1:11" ht="12.75">
      <c r="A212" s="5"/>
      <c r="B212" s="124">
        <v>2015</v>
      </c>
      <c r="C212" s="55">
        <f t="shared" si="53"/>
        <v>188000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4">
        <v>188000</v>
      </c>
      <c r="K212" s="54">
        <v>0</v>
      </c>
    </row>
    <row r="213" spans="1:11" ht="12.75">
      <c r="A213" s="5"/>
      <c r="B213" s="124">
        <v>2016</v>
      </c>
      <c r="C213" s="55">
        <f t="shared" si="53"/>
        <v>188000</v>
      </c>
      <c r="D213" s="54">
        <v>0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188000</v>
      </c>
      <c r="K213" s="54">
        <v>0</v>
      </c>
    </row>
    <row r="214" spans="1:11" ht="12.75">
      <c r="A214" s="5"/>
      <c r="B214" s="124" t="s">
        <v>325</v>
      </c>
      <c r="C214" s="55">
        <f t="shared" si="53"/>
        <v>560000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560000</v>
      </c>
      <c r="K214" s="54"/>
    </row>
    <row r="215" spans="1:11" ht="25.5">
      <c r="A215" s="5"/>
      <c r="B215" s="123" t="s">
        <v>303</v>
      </c>
      <c r="C215" s="55">
        <f>D215+E215+I215+J215</f>
        <v>75000</v>
      </c>
      <c r="D215" s="54">
        <v>0</v>
      </c>
      <c r="E215" s="54">
        <f>F215+G215+H215</f>
        <v>30000</v>
      </c>
      <c r="F215" s="54">
        <f>SUM(F216:F220)</f>
        <v>30000</v>
      </c>
      <c r="G215" s="54">
        <v>0</v>
      </c>
      <c r="H215" s="54">
        <v>0</v>
      </c>
      <c r="I215" s="54">
        <v>0</v>
      </c>
      <c r="J215" s="54">
        <f>J216+J217+J218+J219+J220+J221</f>
        <v>45000</v>
      </c>
      <c r="K215" s="54">
        <v>0</v>
      </c>
    </row>
    <row r="216" spans="1:11" ht="12.75">
      <c r="A216" s="5"/>
      <c r="B216" s="124">
        <v>2012</v>
      </c>
      <c r="C216" s="55">
        <f t="shared" si="53"/>
        <v>40000</v>
      </c>
      <c r="D216" s="54">
        <v>0</v>
      </c>
      <c r="E216" s="54">
        <f>F216+G216+H216</f>
        <v>15000</v>
      </c>
      <c r="F216" s="54">
        <v>15000</v>
      </c>
      <c r="G216" s="54">
        <v>0</v>
      </c>
      <c r="H216" s="54">
        <v>0</v>
      </c>
      <c r="I216" s="54">
        <v>0</v>
      </c>
      <c r="J216" s="54">
        <v>25000</v>
      </c>
      <c r="K216" s="54">
        <v>0</v>
      </c>
    </row>
    <row r="217" spans="1:11" ht="12.75">
      <c r="A217" s="5"/>
      <c r="B217" s="124">
        <v>2013</v>
      </c>
      <c r="C217" s="55">
        <f t="shared" si="53"/>
        <v>35000</v>
      </c>
      <c r="D217" s="54">
        <v>0</v>
      </c>
      <c r="E217" s="54">
        <f>F217+G217+H217</f>
        <v>15000</v>
      </c>
      <c r="F217" s="54">
        <v>15000</v>
      </c>
      <c r="G217" s="54">
        <v>0</v>
      </c>
      <c r="H217" s="54">
        <v>0</v>
      </c>
      <c r="I217" s="54">
        <v>0</v>
      </c>
      <c r="J217" s="54">
        <v>20000</v>
      </c>
      <c r="K217" s="54">
        <v>0</v>
      </c>
    </row>
    <row r="218" spans="1:11" ht="12.75">
      <c r="A218" s="5"/>
      <c r="B218" s="124">
        <v>2014</v>
      </c>
      <c r="C218" s="55">
        <f t="shared" si="53"/>
        <v>0</v>
      </c>
      <c r="D218" s="54">
        <v>0</v>
      </c>
      <c r="E218" s="54">
        <v>0</v>
      </c>
      <c r="F218" s="54">
        <v>0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</row>
    <row r="219" spans="1:11" ht="12.75">
      <c r="A219" s="5"/>
      <c r="B219" s="124">
        <v>2015</v>
      </c>
      <c r="C219" s="55">
        <f t="shared" si="53"/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</row>
    <row r="220" spans="1:11" ht="12.75">
      <c r="A220" s="5"/>
      <c r="B220" s="124">
        <v>2016</v>
      </c>
      <c r="C220" s="55">
        <f t="shared" si="53"/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</row>
    <row r="221" spans="1:11" ht="12.75">
      <c r="A221" s="5"/>
      <c r="B221" s="124" t="s">
        <v>325</v>
      </c>
      <c r="C221" s="55">
        <f t="shared" si="53"/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/>
    </row>
    <row r="222" spans="1:11" ht="25.5">
      <c r="A222" s="5"/>
      <c r="B222" s="123" t="s">
        <v>304</v>
      </c>
      <c r="C222" s="54">
        <f aca="true" t="shared" si="58" ref="C222:H222">C223+C230</f>
        <v>36090.8</v>
      </c>
      <c r="D222" s="54">
        <f t="shared" si="58"/>
        <v>27929.7</v>
      </c>
      <c r="E222" s="54">
        <f t="shared" si="58"/>
        <v>8161.1</v>
      </c>
      <c r="F222" s="54">
        <f t="shared" si="58"/>
        <v>0</v>
      </c>
      <c r="G222" s="54">
        <f t="shared" si="58"/>
        <v>0</v>
      </c>
      <c r="H222" s="54">
        <f t="shared" si="58"/>
        <v>8161.1</v>
      </c>
      <c r="I222" s="54">
        <v>0</v>
      </c>
      <c r="J222" s="54">
        <v>0</v>
      </c>
      <c r="K222" s="54">
        <v>0</v>
      </c>
    </row>
    <row r="223" spans="1:11" ht="25.5">
      <c r="A223" s="5"/>
      <c r="B223" s="123" t="s">
        <v>305</v>
      </c>
      <c r="C223" s="55">
        <f>D223+E223+I223+J223</f>
        <v>18595</v>
      </c>
      <c r="D223" s="54">
        <f>SUM(D224:D229)</f>
        <v>14177.6</v>
      </c>
      <c r="E223" s="54">
        <f>SUM(E224:E229)</f>
        <v>4417.4</v>
      </c>
      <c r="F223" s="54">
        <v>0</v>
      </c>
      <c r="G223" s="54">
        <v>0</v>
      </c>
      <c r="H223" s="54">
        <f>SUM(H224:H229)</f>
        <v>4417.4</v>
      </c>
      <c r="I223" s="54">
        <v>0</v>
      </c>
      <c r="J223" s="54">
        <v>0</v>
      </c>
      <c r="K223" s="54">
        <v>0</v>
      </c>
    </row>
    <row r="224" spans="1:11" ht="12.75">
      <c r="A224" s="5"/>
      <c r="B224" s="124">
        <v>2012</v>
      </c>
      <c r="C224" s="55">
        <f t="shared" si="53"/>
        <v>1738.5</v>
      </c>
      <c r="D224" s="54">
        <v>1322</v>
      </c>
      <c r="E224" s="54">
        <f aca="true" t="shared" si="59" ref="E224:E229">F224+G224+H224</f>
        <v>416.5</v>
      </c>
      <c r="F224" s="54">
        <v>0</v>
      </c>
      <c r="G224" s="54">
        <v>0</v>
      </c>
      <c r="H224" s="54">
        <v>416.5</v>
      </c>
      <c r="I224" s="54">
        <v>0</v>
      </c>
      <c r="J224" s="54">
        <v>0</v>
      </c>
      <c r="K224" s="54">
        <v>0</v>
      </c>
    </row>
    <row r="225" spans="1:11" ht="12.75">
      <c r="A225" s="5"/>
      <c r="B225" s="124">
        <v>2013</v>
      </c>
      <c r="C225" s="55">
        <f aca="true" t="shared" si="60" ref="C225:C230">D225+E225+I225+J225</f>
        <v>1923.4</v>
      </c>
      <c r="D225" s="54">
        <v>1476.8</v>
      </c>
      <c r="E225" s="54">
        <f t="shared" si="59"/>
        <v>446.6</v>
      </c>
      <c r="F225" s="54">
        <v>0</v>
      </c>
      <c r="G225" s="54">
        <v>0</v>
      </c>
      <c r="H225" s="54">
        <v>446.6</v>
      </c>
      <c r="I225" s="54">
        <v>0</v>
      </c>
      <c r="J225" s="54">
        <v>0</v>
      </c>
      <c r="K225" s="54">
        <v>0</v>
      </c>
    </row>
    <row r="226" spans="1:11" ht="12.75">
      <c r="A226" s="5"/>
      <c r="B226" s="124">
        <v>2014</v>
      </c>
      <c r="C226" s="55">
        <f t="shared" si="60"/>
        <v>2120</v>
      </c>
      <c r="D226" s="54">
        <v>1625.7</v>
      </c>
      <c r="E226" s="54">
        <f t="shared" si="59"/>
        <v>494.3</v>
      </c>
      <c r="F226" s="54">
        <v>0</v>
      </c>
      <c r="G226" s="54">
        <v>0</v>
      </c>
      <c r="H226" s="54">
        <v>494.3</v>
      </c>
      <c r="I226" s="54">
        <v>0</v>
      </c>
      <c r="J226" s="54">
        <v>0</v>
      </c>
      <c r="K226" s="54">
        <v>0</v>
      </c>
    </row>
    <row r="227" spans="1:11" ht="12.75">
      <c r="A227" s="5"/>
      <c r="B227" s="124">
        <v>2015</v>
      </c>
      <c r="C227" s="55">
        <f t="shared" si="60"/>
        <v>2310.6</v>
      </c>
      <c r="D227" s="54">
        <v>1786.5</v>
      </c>
      <c r="E227" s="54">
        <f t="shared" si="59"/>
        <v>524.1</v>
      </c>
      <c r="F227" s="54">
        <v>0</v>
      </c>
      <c r="G227" s="54">
        <v>0</v>
      </c>
      <c r="H227" s="54">
        <v>524.1</v>
      </c>
      <c r="I227" s="54">
        <v>0</v>
      </c>
      <c r="J227" s="54">
        <v>0</v>
      </c>
      <c r="K227" s="54">
        <v>0</v>
      </c>
    </row>
    <row r="228" spans="1:11" ht="12.75">
      <c r="A228" s="5"/>
      <c r="B228" s="124">
        <v>2016</v>
      </c>
      <c r="C228" s="55">
        <f t="shared" si="60"/>
        <v>2502.5</v>
      </c>
      <c r="D228" s="54">
        <v>1966.6</v>
      </c>
      <c r="E228" s="54">
        <f t="shared" si="59"/>
        <v>535.9</v>
      </c>
      <c r="F228" s="54">
        <v>0</v>
      </c>
      <c r="G228" s="54">
        <v>0</v>
      </c>
      <c r="H228" s="54">
        <v>535.9</v>
      </c>
      <c r="I228" s="54">
        <v>0</v>
      </c>
      <c r="J228" s="54">
        <v>0</v>
      </c>
      <c r="K228" s="54">
        <v>0</v>
      </c>
    </row>
    <row r="229" spans="1:11" ht="12.75">
      <c r="A229" s="5"/>
      <c r="B229" s="124" t="s">
        <v>325</v>
      </c>
      <c r="C229" s="55">
        <f t="shared" si="60"/>
        <v>8000</v>
      </c>
      <c r="D229" s="54">
        <v>6000</v>
      </c>
      <c r="E229" s="54">
        <f t="shared" si="59"/>
        <v>2000</v>
      </c>
      <c r="F229" s="54">
        <v>0</v>
      </c>
      <c r="G229" s="54">
        <v>0</v>
      </c>
      <c r="H229" s="54">
        <v>2000</v>
      </c>
      <c r="I229" s="54">
        <v>0</v>
      </c>
      <c r="J229" s="54">
        <v>0</v>
      </c>
      <c r="K229" s="54"/>
    </row>
    <row r="230" spans="1:11" ht="28.5" customHeight="1">
      <c r="A230" s="5"/>
      <c r="B230" s="123" t="s">
        <v>306</v>
      </c>
      <c r="C230" s="55">
        <f t="shared" si="60"/>
        <v>17495.8</v>
      </c>
      <c r="D230" s="54">
        <f>SUM(D231:D236)</f>
        <v>13752.1</v>
      </c>
      <c r="E230" s="54">
        <f>SUM(E231:E236)</f>
        <v>3743.7000000000003</v>
      </c>
      <c r="F230" s="54">
        <v>0</v>
      </c>
      <c r="G230" s="54">
        <v>0</v>
      </c>
      <c r="H230" s="54">
        <f>SUM(H231:H236)</f>
        <v>3743.7000000000003</v>
      </c>
      <c r="I230" s="54">
        <v>0</v>
      </c>
      <c r="J230" s="54">
        <v>0</v>
      </c>
      <c r="K230" s="54">
        <v>0</v>
      </c>
    </row>
    <row r="231" spans="1:11" ht="12.75">
      <c r="A231" s="5"/>
      <c r="B231" s="124">
        <v>2012</v>
      </c>
      <c r="C231" s="55">
        <f aca="true" t="shared" si="61" ref="C231:C236">D231+E231+I231+J231</f>
        <v>1541.7</v>
      </c>
      <c r="D231" s="54">
        <v>1172.4</v>
      </c>
      <c r="E231" s="54">
        <f>F231+G231+H231</f>
        <v>369.3</v>
      </c>
      <c r="F231" s="54">
        <v>0</v>
      </c>
      <c r="G231" s="54">
        <v>0</v>
      </c>
      <c r="H231" s="54">
        <v>369.3</v>
      </c>
      <c r="I231" s="54">
        <v>0</v>
      </c>
      <c r="J231" s="54">
        <v>0</v>
      </c>
      <c r="K231" s="54">
        <v>0</v>
      </c>
    </row>
    <row r="232" spans="1:11" ht="12.75">
      <c r="A232" s="5"/>
      <c r="B232" s="124">
        <v>2013</v>
      </c>
      <c r="C232" s="55">
        <f t="shared" si="61"/>
        <v>1705.8000000000002</v>
      </c>
      <c r="D232" s="54">
        <v>1309.7</v>
      </c>
      <c r="E232" s="54">
        <f>F232+G232+H232</f>
        <v>396.1</v>
      </c>
      <c r="F232" s="54">
        <v>0</v>
      </c>
      <c r="G232" s="54">
        <v>0</v>
      </c>
      <c r="H232" s="54">
        <v>396.1</v>
      </c>
      <c r="I232" s="54">
        <v>0</v>
      </c>
      <c r="J232" s="54">
        <v>0</v>
      </c>
      <c r="K232" s="54">
        <v>0</v>
      </c>
    </row>
    <row r="233" spans="1:11" ht="12.75">
      <c r="A233" s="5"/>
      <c r="B233" s="124">
        <v>2014</v>
      </c>
      <c r="C233" s="55">
        <f t="shared" si="61"/>
        <v>1880</v>
      </c>
      <c r="D233" s="54">
        <v>1441.7</v>
      </c>
      <c r="E233" s="54">
        <f>F233+G233+H233</f>
        <v>438.3</v>
      </c>
      <c r="F233" s="54">
        <v>0</v>
      </c>
      <c r="G233" s="54">
        <v>0</v>
      </c>
      <c r="H233" s="54">
        <v>438.3</v>
      </c>
      <c r="I233" s="54">
        <v>0</v>
      </c>
      <c r="J233" s="54">
        <v>0</v>
      </c>
      <c r="K233" s="54">
        <v>0</v>
      </c>
    </row>
    <row r="234" spans="1:11" ht="12.75">
      <c r="A234" s="5"/>
      <c r="B234" s="124">
        <v>2015</v>
      </c>
      <c r="C234" s="55">
        <f t="shared" si="61"/>
        <v>2049</v>
      </c>
      <c r="D234" s="54">
        <v>1584.3</v>
      </c>
      <c r="E234" s="54">
        <f>F234+G234+H234</f>
        <v>464.7</v>
      </c>
      <c r="F234" s="54">
        <v>0</v>
      </c>
      <c r="G234" s="54">
        <v>0</v>
      </c>
      <c r="H234" s="54">
        <v>464.7</v>
      </c>
      <c r="I234" s="54">
        <v>0</v>
      </c>
      <c r="J234" s="54">
        <v>0</v>
      </c>
      <c r="K234" s="54">
        <v>0</v>
      </c>
    </row>
    <row r="235" spans="1:11" ht="12.75">
      <c r="A235" s="5"/>
      <c r="B235" s="124">
        <v>2016</v>
      </c>
      <c r="C235" s="55">
        <f t="shared" si="61"/>
        <v>2219.3</v>
      </c>
      <c r="D235" s="54">
        <v>1744</v>
      </c>
      <c r="E235" s="54">
        <f>F235+G235+H235</f>
        <v>475.3</v>
      </c>
      <c r="F235" s="54">
        <v>0</v>
      </c>
      <c r="G235" s="54">
        <v>0</v>
      </c>
      <c r="H235" s="54">
        <v>475.3</v>
      </c>
      <c r="I235" s="54">
        <v>0</v>
      </c>
      <c r="J235" s="54">
        <v>0</v>
      </c>
      <c r="K235" s="54">
        <v>0</v>
      </c>
    </row>
    <row r="236" spans="1:11" ht="12.75">
      <c r="A236" s="5"/>
      <c r="B236" s="124" t="s">
        <v>325</v>
      </c>
      <c r="C236" s="55">
        <f t="shared" si="61"/>
        <v>8100</v>
      </c>
      <c r="D236" s="54">
        <v>6500</v>
      </c>
      <c r="E236" s="54">
        <v>1600</v>
      </c>
      <c r="F236" s="54">
        <v>0</v>
      </c>
      <c r="G236" s="54">
        <v>0</v>
      </c>
      <c r="H236" s="54">
        <v>1600</v>
      </c>
      <c r="I236" s="54">
        <v>0</v>
      </c>
      <c r="J236" s="54">
        <v>0</v>
      </c>
      <c r="K236" s="54"/>
    </row>
    <row r="237" spans="1:11" ht="28.5" customHeight="1">
      <c r="A237" s="5">
        <v>3</v>
      </c>
      <c r="B237" s="122" t="s">
        <v>307</v>
      </c>
      <c r="C237" s="97">
        <f>C239+C240+C241+C242+C243+C244</f>
        <v>56058</v>
      </c>
      <c r="D237" s="97">
        <f aca="true" t="shared" si="62" ref="D237:J237">D239+D240+D241+D242+D243+D244</f>
        <v>0</v>
      </c>
      <c r="E237" s="97">
        <f t="shared" si="62"/>
        <v>53358</v>
      </c>
      <c r="F237" s="97">
        <f t="shared" si="62"/>
        <v>0</v>
      </c>
      <c r="G237" s="97">
        <f t="shared" si="62"/>
        <v>0</v>
      </c>
      <c r="H237" s="97">
        <f t="shared" si="62"/>
        <v>53358</v>
      </c>
      <c r="I237" s="97">
        <f t="shared" si="62"/>
        <v>0</v>
      </c>
      <c r="J237" s="97">
        <f t="shared" si="62"/>
        <v>2700</v>
      </c>
      <c r="K237" s="54">
        <f>K246+K253+K260</f>
        <v>0</v>
      </c>
    </row>
    <row r="238" spans="1:11" ht="12.75">
      <c r="A238" s="5"/>
      <c r="B238" s="121" t="s">
        <v>323</v>
      </c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1:11" ht="12.75">
      <c r="A239" s="5"/>
      <c r="B239" s="121" t="s">
        <v>270</v>
      </c>
      <c r="C239" s="96">
        <f aca="true" t="shared" si="63" ref="C239:C244">D239+E239+I239+J239</f>
        <v>5800</v>
      </c>
      <c r="D239" s="96">
        <f>D254+D277+D284</f>
        <v>0</v>
      </c>
      <c r="E239" s="96">
        <f aca="true" t="shared" si="64" ref="E239:J243">E254+E277+E284+E247+E262+E269</f>
        <v>5500</v>
      </c>
      <c r="F239" s="96">
        <f t="shared" si="64"/>
        <v>0</v>
      </c>
      <c r="G239" s="96">
        <f t="shared" si="64"/>
        <v>0</v>
      </c>
      <c r="H239" s="96">
        <f t="shared" si="64"/>
        <v>5500</v>
      </c>
      <c r="I239" s="96">
        <f t="shared" si="64"/>
        <v>0</v>
      </c>
      <c r="J239" s="96">
        <f t="shared" si="64"/>
        <v>300</v>
      </c>
      <c r="K239" s="96" t="e">
        <f>K247+K253+K261+K267+K274+K280+K288+#REF!+#REF!+#REF!</f>
        <v>#REF!</v>
      </c>
    </row>
    <row r="240" spans="1:11" ht="12.75">
      <c r="A240" s="5"/>
      <c r="B240" s="121" t="s">
        <v>271</v>
      </c>
      <c r="C240" s="96">
        <f t="shared" si="63"/>
        <v>8650</v>
      </c>
      <c r="D240" s="96">
        <f>D255+D278+D285</f>
        <v>0</v>
      </c>
      <c r="E240" s="96">
        <f t="shared" si="64"/>
        <v>8350</v>
      </c>
      <c r="F240" s="96">
        <f t="shared" si="64"/>
        <v>0</v>
      </c>
      <c r="G240" s="96">
        <f t="shared" si="64"/>
        <v>0</v>
      </c>
      <c r="H240" s="96">
        <f t="shared" si="64"/>
        <v>8350</v>
      </c>
      <c r="I240" s="96">
        <f t="shared" si="64"/>
        <v>0</v>
      </c>
      <c r="J240" s="96">
        <f t="shared" si="64"/>
        <v>300</v>
      </c>
      <c r="K240" s="96" t="e">
        <f>K248+K254+K262+K268+K275+K281+K289+#REF!+#REF!+#REF!</f>
        <v>#REF!</v>
      </c>
    </row>
    <row r="241" spans="1:11" ht="12.75">
      <c r="A241" s="5"/>
      <c r="B241" s="121" t="s">
        <v>272</v>
      </c>
      <c r="C241" s="96">
        <f t="shared" si="63"/>
        <v>15808</v>
      </c>
      <c r="D241" s="96">
        <f>D256+D279+D286</f>
        <v>0</v>
      </c>
      <c r="E241" s="96">
        <f t="shared" si="64"/>
        <v>15508</v>
      </c>
      <c r="F241" s="96">
        <f t="shared" si="64"/>
        <v>0</v>
      </c>
      <c r="G241" s="96">
        <f t="shared" si="64"/>
        <v>0</v>
      </c>
      <c r="H241" s="96">
        <f t="shared" si="64"/>
        <v>15508</v>
      </c>
      <c r="I241" s="96">
        <f t="shared" si="64"/>
        <v>0</v>
      </c>
      <c r="J241" s="96">
        <f t="shared" si="64"/>
        <v>300</v>
      </c>
      <c r="K241" s="96" t="e">
        <f>K249+K255+K263+K269+K276+K282+#REF!+#REF!+#REF!+#REF!</f>
        <v>#REF!</v>
      </c>
    </row>
    <row r="242" spans="1:11" ht="12.75">
      <c r="A242" s="5"/>
      <c r="B242" s="121" t="s">
        <v>273</v>
      </c>
      <c r="C242" s="96">
        <f t="shared" si="63"/>
        <v>11300</v>
      </c>
      <c r="D242" s="96">
        <f>D257+D280+D287</f>
        <v>0</v>
      </c>
      <c r="E242" s="96">
        <f t="shared" si="64"/>
        <v>11000</v>
      </c>
      <c r="F242" s="96">
        <f t="shared" si="64"/>
        <v>0</v>
      </c>
      <c r="G242" s="96">
        <f t="shared" si="64"/>
        <v>0</v>
      </c>
      <c r="H242" s="96">
        <f t="shared" si="64"/>
        <v>11000</v>
      </c>
      <c r="I242" s="96">
        <f t="shared" si="64"/>
        <v>0</v>
      </c>
      <c r="J242" s="96">
        <f t="shared" si="64"/>
        <v>300</v>
      </c>
      <c r="K242" s="96" t="e">
        <f>K250+K256+K264+K270+K277+K283+#REF!+#REF!+#REF!+#REF!</f>
        <v>#REF!</v>
      </c>
    </row>
    <row r="243" spans="1:11" ht="12.75">
      <c r="A243" s="5"/>
      <c r="B243" s="121" t="s">
        <v>274</v>
      </c>
      <c r="C243" s="96">
        <f t="shared" si="63"/>
        <v>13300</v>
      </c>
      <c r="D243" s="96">
        <f>D258+D281+D288</f>
        <v>0</v>
      </c>
      <c r="E243" s="96">
        <f t="shared" si="64"/>
        <v>13000</v>
      </c>
      <c r="F243" s="96">
        <f t="shared" si="64"/>
        <v>0</v>
      </c>
      <c r="G243" s="96">
        <f t="shared" si="64"/>
        <v>0</v>
      </c>
      <c r="H243" s="96">
        <f t="shared" si="64"/>
        <v>13000</v>
      </c>
      <c r="I243" s="96">
        <f t="shared" si="64"/>
        <v>0</v>
      </c>
      <c r="J243" s="96">
        <f t="shared" si="64"/>
        <v>300</v>
      </c>
      <c r="K243" s="96" t="e">
        <f>K251+K257+K265+K271+K278+K284+#REF!+#REF!+#REF!+#REF!</f>
        <v>#REF!</v>
      </c>
    </row>
    <row r="244" spans="1:11" ht="12.75">
      <c r="A244" s="5"/>
      <c r="B244" s="121" t="s">
        <v>324</v>
      </c>
      <c r="C244" s="96">
        <f t="shared" si="63"/>
        <v>1200</v>
      </c>
      <c r="D244" s="96">
        <f aca="true" t="shared" si="65" ref="D244:I244">D252+D259+D267+D274+D282+D289</f>
        <v>0</v>
      </c>
      <c r="E244" s="96">
        <f t="shared" si="65"/>
        <v>0</v>
      </c>
      <c r="F244" s="96">
        <f t="shared" si="65"/>
        <v>0</v>
      </c>
      <c r="G244" s="96">
        <f t="shared" si="65"/>
        <v>0</v>
      </c>
      <c r="H244" s="96">
        <f t="shared" si="65"/>
        <v>0</v>
      </c>
      <c r="I244" s="96">
        <f t="shared" si="65"/>
        <v>0</v>
      </c>
      <c r="J244" s="96">
        <f>J252+J259+J267+J274+J282+J289</f>
        <v>1200</v>
      </c>
      <c r="K244" s="96"/>
    </row>
    <row r="245" spans="1:11" ht="28.5" customHeight="1">
      <c r="A245" s="5"/>
      <c r="B245" s="123" t="s">
        <v>342</v>
      </c>
      <c r="C245" s="54">
        <f>C246+C253</f>
        <v>42508</v>
      </c>
      <c r="D245" s="54">
        <f aca="true" t="shared" si="66" ref="D245:J245">D246+D253</f>
        <v>0</v>
      </c>
      <c r="E245" s="54">
        <f t="shared" si="66"/>
        <v>42508</v>
      </c>
      <c r="F245" s="54">
        <f t="shared" si="66"/>
        <v>0</v>
      </c>
      <c r="G245" s="54">
        <f t="shared" si="66"/>
        <v>0</v>
      </c>
      <c r="H245" s="54">
        <f t="shared" si="66"/>
        <v>42508</v>
      </c>
      <c r="I245" s="54">
        <f t="shared" si="66"/>
        <v>0</v>
      </c>
      <c r="J245" s="54">
        <f t="shared" si="66"/>
        <v>0</v>
      </c>
      <c r="K245" s="109">
        <v>0</v>
      </c>
    </row>
    <row r="246" spans="1:11" ht="42.75" customHeight="1">
      <c r="A246" s="5"/>
      <c r="B246" s="123" t="s">
        <v>308</v>
      </c>
      <c r="C246" s="54">
        <f>D246+E246+I246+J246</f>
        <v>3000</v>
      </c>
      <c r="D246" s="54">
        <f aca="true" t="shared" si="67" ref="D246:J246">D247+D248+D249+D250+D251+D252</f>
        <v>0</v>
      </c>
      <c r="E246" s="54">
        <f t="shared" si="67"/>
        <v>3000</v>
      </c>
      <c r="F246" s="54">
        <f t="shared" si="67"/>
        <v>0</v>
      </c>
      <c r="G246" s="54">
        <f t="shared" si="67"/>
        <v>0</v>
      </c>
      <c r="H246" s="54">
        <f t="shared" si="67"/>
        <v>3000</v>
      </c>
      <c r="I246" s="54">
        <f t="shared" si="67"/>
        <v>0</v>
      </c>
      <c r="J246" s="54">
        <f t="shared" si="67"/>
        <v>0</v>
      </c>
      <c r="K246" s="109">
        <v>0</v>
      </c>
    </row>
    <row r="247" spans="1:11" ht="12.75">
      <c r="A247" s="5"/>
      <c r="B247" s="123">
        <v>2012</v>
      </c>
      <c r="C247" s="54">
        <f aca="true" t="shared" si="68" ref="C247:C259">D247+E247+I247+J247</f>
        <v>1200</v>
      </c>
      <c r="D247" s="54">
        <v>0</v>
      </c>
      <c r="E247" s="54">
        <f aca="true" t="shared" si="69" ref="E247:E252">F247+G247+H247</f>
        <v>1200</v>
      </c>
      <c r="F247" s="54">
        <v>0</v>
      </c>
      <c r="G247" s="54">
        <v>0</v>
      </c>
      <c r="H247" s="54">
        <v>1200</v>
      </c>
      <c r="I247" s="54">
        <v>0</v>
      </c>
      <c r="J247" s="54">
        <v>0</v>
      </c>
      <c r="K247" s="112">
        <v>0</v>
      </c>
    </row>
    <row r="248" spans="1:11" ht="12.75">
      <c r="A248" s="5"/>
      <c r="B248" s="123">
        <v>2013</v>
      </c>
      <c r="C248" s="54">
        <f t="shared" si="68"/>
        <v>1800</v>
      </c>
      <c r="D248" s="54">
        <v>0</v>
      </c>
      <c r="E248" s="54">
        <f t="shared" si="69"/>
        <v>1800</v>
      </c>
      <c r="F248" s="54">
        <v>0</v>
      </c>
      <c r="G248" s="54">
        <v>0</v>
      </c>
      <c r="H248" s="54">
        <v>1800</v>
      </c>
      <c r="I248" s="54">
        <v>0</v>
      </c>
      <c r="J248" s="54">
        <v>0</v>
      </c>
      <c r="K248" s="112">
        <v>0</v>
      </c>
    </row>
    <row r="249" spans="1:11" ht="12.75">
      <c r="A249" s="5"/>
      <c r="B249" s="123">
        <v>2014</v>
      </c>
      <c r="C249" s="54">
        <f t="shared" si="68"/>
        <v>0</v>
      </c>
      <c r="D249" s="54">
        <v>0</v>
      </c>
      <c r="E249" s="54">
        <f t="shared" si="69"/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112">
        <v>0</v>
      </c>
    </row>
    <row r="250" spans="1:11" ht="12.75">
      <c r="A250" s="5"/>
      <c r="B250" s="123">
        <v>2015</v>
      </c>
      <c r="C250" s="54">
        <f t="shared" si="68"/>
        <v>0</v>
      </c>
      <c r="D250" s="54">
        <v>0</v>
      </c>
      <c r="E250" s="54">
        <f t="shared" si="69"/>
        <v>0</v>
      </c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112">
        <v>0</v>
      </c>
    </row>
    <row r="251" spans="1:11" ht="12.75">
      <c r="A251" s="5"/>
      <c r="B251" s="123">
        <v>2016</v>
      </c>
      <c r="C251" s="54">
        <f t="shared" si="68"/>
        <v>0</v>
      </c>
      <c r="D251" s="54">
        <v>0</v>
      </c>
      <c r="E251" s="54">
        <f t="shared" si="69"/>
        <v>0</v>
      </c>
      <c r="F251" s="54">
        <v>0</v>
      </c>
      <c r="G251" s="54">
        <v>0</v>
      </c>
      <c r="H251" s="54">
        <v>0</v>
      </c>
      <c r="I251" s="54">
        <v>0</v>
      </c>
      <c r="J251" s="54">
        <v>0</v>
      </c>
      <c r="K251" s="112">
        <v>0</v>
      </c>
    </row>
    <row r="252" spans="1:11" ht="12.75">
      <c r="A252" s="5"/>
      <c r="B252" s="123" t="s">
        <v>325</v>
      </c>
      <c r="C252" s="54">
        <f t="shared" si="68"/>
        <v>0</v>
      </c>
      <c r="D252" s="54">
        <v>0</v>
      </c>
      <c r="E252" s="54">
        <f t="shared" si="69"/>
        <v>0</v>
      </c>
      <c r="F252" s="54">
        <v>0</v>
      </c>
      <c r="G252" s="54">
        <v>0</v>
      </c>
      <c r="H252" s="54">
        <v>0</v>
      </c>
      <c r="I252" s="54">
        <v>0</v>
      </c>
      <c r="J252" s="54">
        <v>0</v>
      </c>
      <c r="K252" s="109">
        <v>0</v>
      </c>
    </row>
    <row r="253" spans="1:11" ht="29.25" customHeight="1">
      <c r="A253" s="5"/>
      <c r="B253" s="123" t="s">
        <v>330</v>
      </c>
      <c r="C253" s="54">
        <f>D253+E253+I253+J253</f>
        <v>39508</v>
      </c>
      <c r="D253" s="54">
        <f aca="true" t="shared" si="70" ref="D253:J253">D254+D255+D256+D257+D258+D259</f>
        <v>0</v>
      </c>
      <c r="E253" s="54">
        <f t="shared" si="70"/>
        <v>39508</v>
      </c>
      <c r="F253" s="54">
        <f t="shared" si="70"/>
        <v>0</v>
      </c>
      <c r="G253" s="54">
        <f t="shared" si="70"/>
        <v>0</v>
      </c>
      <c r="H253" s="54">
        <f t="shared" si="70"/>
        <v>39508</v>
      </c>
      <c r="I253" s="54">
        <f t="shared" si="70"/>
        <v>0</v>
      </c>
      <c r="J253" s="54">
        <f t="shared" si="70"/>
        <v>0</v>
      </c>
      <c r="K253" s="112">
        <v>0</v>
      </c>
    </row>
    <row r="254" spans="1:11" ht="12.75">
      <c r="A254" s="5"/>
      <c r="B254" s="123">
        <v>2012</v>
      </c>
      <c r="C254" s="54">
        <f t="shared" si="68"/>
        <v>0</v>
      </c>
      <c r="D254" s="54">
        <v>0</v>
      </c>
      <c r="E254" s="54">
        <f aca="true" t="shared" si="71" ref="E254:E259">F254+G254+H254</f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2">
        <v>0</v>
      </c>
    </row>
    <row r="255" spans="1:11" ht="12.75">
      <c r="A255" s="5"/>
      <c r="B255" s="124">
        <v>2013</v>
      </c>
      <c r="C255" s="54">
        <f t="shared" si="68"/>
        <v>2000</v>
      </c>
      <c r="D255" s="54">
        <v>0</v>
      </c>
      <c r="E255" s="54">
        <f t="shared" si="71"/>
        <v>2000</v>
      </c>
      <c r="F255" s="54">
        <v>0</v>
      </c>
      <c r="G255" s="54">
        <v>0</v>
      </c>
      <c r="H255" s="54">
        <v>2000</v>
      </c>
      <c r="I255" s="54">
        <v>0</v>
      </c>
      <c r="J255" s="54">
        <v>0</v>
      </c>
      <c r="K255" s="112">
        <v>0</v>
      </c>
    </row>
    <row r="256" spans="1:11" ht="12.75">
      <c r="A256" s="5"/>
      <c r="B256" s="124">
        <v>2014</v>
      </c>
      <c r="C256" s="54">
        <f t="shared" si="68"/>
        <v>13508</v>
      </c>
      <c r="D256" s="54">
        <v>0</v>
      </c>
      <c r="E256" s="54">
        <f t="shared" si="71"/>
        <v>13508</v>
      </c>
      <c r="F256" s="54">
        <v>0</v>
      </c>
      <c r="G256" s="54">
        <v>0</v>
      </c>
      <c r="H256" s="54">
        <v>13508</v>
      </c>
      <c r="I256" s="54">
        <v>0</v>
      </c>
      <c r="J256" s="54">
        <v>0</v>
      </c>
      <c r="K256" s="112">
        <v>0</v>
      </c>
    </row>
    <row r="257" spans="1:11" ht="12.75">
      <c r="A257" s="5"/>
      <c r="B257" s="124">
        <v>2015</v>
      </c>
      <c r="C257" s="54">
        <f t="shared" si="68"/>
        <v>11000</v>
      </c>
      <c r="D257" s="54">
        <v>0</v>
      </c>
      <c r="E257" s="54">
        <f t="shared" si="71"/>
        <v>11000</v>
      </c>
      <c r="F257" s="54">
        <v>0</v>
      </c>
      <c r="G257" s="54">
        <v>0</v>
      </c>
      <c r="H257" s="54">
        <v>11000</v>
      </c>
      <c r="I257" s="54">
        <v>0</v>
      </c>
      <c r="J257" s="54">
        <v>0</v>
      </c>
      <c r="K257" s="112">
        <v>0</v>
      </c>
    </row>
    <row r="258" spans="1:11" ht="12.75">
      <c r="A258" s="5"/>
      <c r="B258" s="124">
        <v>2016</v>
      </c>
      <c r="C258" s="54">
        <f t="shared" si="68"/>
        <v>13000</v>
      </c>
      <c r="D258" s="54">
        <v>0</v>
      </c>
      <c r="E258" s="54">
        <f t="shared" si="71"/>
        <v>13000</v>
      </c>
      <c r="F258" s="54">
        <v>0</v>
      </c>
      <c r="G258" s="54">
        <v>0</v>
      </c>
      <c r="H258" s="54">
        <v>13000</v>
      </c>
      <c r="I258" s="54">
        <v>0</v>
      </c>
      <c r="J258" s="54">
        <v>0</v>
      </c>
      <c r="K258" s="112"/>
    </row>
    <row r="259" spans="1:11" ht="12.75">
      <c r="A259" s="5"/>
      <c r="B259" s="124" t="s">
        <v>325</v>
      </c>
      <c r="C259" s="54">
        <f t="shared" si="68"/>
        <v>0</v>
      </c>
      <c r="D259" s="54">
        <v>0</v>
      </c>
      <c r="E259" s="54">
        <f t="shared" si="71"/>
        <v>0</v>
      </c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</row>
    <row r="260" spans="1:11" ht="25.5">
      <c r="A260" s="103"/>
      <c r="B260" s="125" t="s">
        <v>351</v>
      </c>
      <c r="C260" s="54">
        <f>C261+C268</f>
        <v>7850</v>
      </c>
      <c r="D260" s="54">
        <v>0</v>
      </c>
      <c r="E260" s="54">
        <f>E261+E268</f>
        <v>7850</v>
      </c>
      <c r="F260" s="54">
        <v>0</v>
      </c>
      <c r="G260" s="54">
        <v>0</v>
      </c>
      <c r="H260" s="54">
        <v>7850</v>
      </c>
      <c r="I260" s="54">
        <v>0</v>
      </c>
      <c r="J260" s="54">
        <v>0</v>
      </c>
      <c r="K260" s="54">
        <v>0</v>
      </c>
    </row>
    <row r="261" spans="1:11" ht="65.25" customHeight="1">
      <c r="A261" s="103"/>
      <c r="B261" s="125" t="s">
        <v>309</v>
      </c>
      <c r="C261" s="54">
        <f>D261+E261+I261+J261</f>
        <v>6750</v>
      </c>
      <c r="D261" s="54">
        <v>0</v>
      </c>
      <c r="E261" s="54">
        <f>E262+E263+E264+E265+E266+E267</f>
        <v>6750</v>
      </c>
      <c r="F261" s="54">
        <v>0</v>
      </c>
      <c r="G261" s="54">
        <v>0</v>
      </c>
      <c r="H261" s="54">
        <v>6750</v>
      </c>
      <c r="I261" s="54">
        <v>0</v>
      </c>
      <c r="J261" s="54">
        <v>0</v>
      </c>
      <c r="K261" s="112">
        <v>0</v>
      </c>
    </row>
    <row r="262" spans="1:11" ht="15.75">
      <c r="A262" s="103"/>
      <c r="B262" s="124">
        <v>2012</v>
      </c>
      <c r="C262" s="54">
        <f aca="true" t="shared" si="72" ref="C262:C267">D262+E262+I262+J262</f>
        <v>2500</v>
      </c>
      <c r="D262" s="54">
        <v>0</v>
      </c>
      <c r="E262" s="54">
        <f aca="true" t="shared" si="73" ref="E262:E267">F262+G262+H262</f>
        <v>2500</v>
      </c>
      <c r="F262" s="54">
        <v>0</v>
      </c>
      <c r="G262" s="54">
        <v>0</v>
      </c>
      <c r="H262" s="54">
        <v>2500</v>
      </c>
      <c r="I262" s="54">
        <v>0</v>
      </c>
      <c r="J262" s="54">
        <v>0</v>
      </c>
      <c r="K262" s="112">
        <v>0</v>
      </c>
    </row>
    <row r="263" spans="1:11" ht="15.75">
      <c r="A263" s="103"/>
      <c r="B263" s="124">
        <v>2013</v>
      </c>
      <c r="C263" s="54">
        <f t="shared" si="72"/>
        <v>2250</v>
      </c>
      <c r="D263" s="54">
        <v>0</v>
      </c>
      <c r="E263" s="54">
        <f t="shared" si="73"/>
        <v>2250</v>
      </c>
      <c r="F263" s="54">
        <v>0</v>
      </c>
      <c r="G263" s="54">
        <v>0</v>
      </c>
      <c r="H263" s="54">
        <v>2250</v>
      </c>
      <c r="I263" s="54">
        <v>0</v>
      </c>
      <c r="J263" s="54">
        <v>0</v>
      </c>
      <c r="K263" s="112">
        <v>0</v>
      </c>
    </row>
    <row r="264" spans="1:11" ht="15.75">
      <c r="A264" s="103"/>
      <c r="B264" s="124">
        <v>2014</v>
      </c>
      <c r="C264" s="54">
        <f t="shared" si="72"/>
        <v>2000</v>
      </c>
      <c r="D264" s="54">
        <v>0</v>
      </c>
      <c r="E264" s="54">
        <f t="shared" si="73"/>
        <v>2000</v>
      </c>
      <c r="F264" s="54">
        <v>0</v>
      </c>
      <c r="G264" s="54">
        <v>0</v>
      </c>
      <c r="H264" s="54">
        <v>2000</v>
      </c>
      <c r="I264" s="54">
        <v>0</v>
      </c>
      <c r="J264" s="54">
        <v>0</v>
      </c>
      <c r="K264" s="112">
        <v>0</v>
      </c>
    </row>
    <row r="265" spans="1:11" ht="15.75">
      <c r="A265" s="103"/>
      <c r="B265" s="124">
        <v>2015</v>
      </c>
      <c r="C265" s="54">
        <f t="shared" si="72"/>
        <v>0</v>
      </c>
      <c r="D265" s="54">
        <v>0</v>
      </c>
      <c r="E265" s="54">
        <f t="shared" si="73"/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2">
        <v>0</v>
      </c>
    </row>
    <row r="266" spans="1:11" ht="15.75">
      <c r="A266" s="103"/>
      <c r="B266" s="124">
        <v>2016</v>
      </c>
      <c r="C266" s="54">
        <f t="shared" si="72"/>
        <v>0</v>
      </c>
      <c r="D266" s="54">
        <v>0</v>
      </c>
      <c r="E266" s="54">
        <f t="shared" si="73"/>
        <v>0</v>
      </c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</row>
    <row r="267" spans="1:11" ht="15.75">
      <c r="A267" s="103"/>
      <c r="B267" s="124" t="s">
        <v>325</v>
      </c>
      <c r="C267" s="54">
        <f t="shared" si="72"/>
        <v>0</v>
      </c>
      <c r="D267" s="54">
        <v>0</v>
      </c>
      <c r="E267" s="54">
        <f t="shared" si="73"/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112">
        <v>0</v>
      </c>
    </row>
    <row r="268" spans="1:11" ht="51">
      <c r="A268" s="103"/>
      <c r="B268" s="125" t="s">
        <v>343</v>
      </c>
      <c r="C268" s="54">
        <f>D268+E268+I268+J268</f>
        <v>1100</v>
      </c>
      <c r="D268" s="54">
        <v>0</v>
      </c>
      <c r="E268" s="54">
        <f>E269+E270+E271+E272+E273+E274</f>
        <v>1100</v>
      </c>
      <c r="F268" s="54">
        <v>0</v>
      </c>
      <c r="G268" s="54">
        <v>0</v>
      </c>
      <c r="H268" s="54">
        <v>1100</v>
      </c>
      <c r="I268" s="54">
        <v>0</v>
      </c>
      <c r="J268" s="54">
        <v>0</v>
      </c>
      <c r="K268" s="112">
        <v>0</v>
      </c>
    </row>
    <row r="269" spans="1:11" ht="15.75">
      <c r="A269" s="103"/>
      <c r="B269" s="124">
        <v>2012</v>
      </c>
      <c r="C269" s="54">
        <f aca="true" t="shared" si="74" ref="C269:C274">D269+E269+I269+J269</f>
        <v>600</v>
      </c>
      <c r="D269" s="54">
        <v>0</v>
      </c>
      <c r="E269" s="54">
        <f>F269+G269+H269</f>
        <v>600</v>
      </c>
      <c r="F269" s="54">
        <v>0</v>
      </c>
      <c r="G269" s="54">
        <v>0</v>
      </c>
      <c r="H269" s="54">
        <v>600</v>
      </c>
      <c r="I269" s="54">
        <v>0</v>
      </c>
      <c r="J269" s="54">
        <v>0</v>
      </c>
      <c r="K269" s="112">
        <v>0</v>
      </c>
    </row>
    <row r="270" spans="1:11" ht="15.75">
      <c r="A270" s="103"/>
      <c r="B270" s="124">
        <v>2013</v>
      </c>
      <c r="C270" s="54">
        <f t="shared" si="74"/>
        <v>500</v>
      </c>
      <c r="D270" s="54">
        <v>0</v>
      </c>
      <c r="E270" s="54">
        <f>F270+G270+H270</f>
        <v>500</v>
      </c>
      <c r="F270" s="54">
        <v>0</v>
      </c>
      <c r="G270" s="54">
        <v>0</v>
      </c>
      <c r="H270" s="54">
        <v>500</v>
      </c>
      <c r="I270" s="54">
        <v>0</v>
      </c>
      <c r="J270" s="54">
        <v>0</v>
      </c>
      <c r="K270" s="112">
        <v>0</v>
      </c>
    </row>
    <row r="271" spans="1:11" ht="15.75">
      <c r="A271" s="103"/>
      <c r="B271" s="124">
        <v>2014</v>
      </c>
      <c r="C271" s="54">
        <f t="shared" si="74"/>
        <v>0</v>
      </c>
      <c r="D271" s="54">
        <v>0</v>
      </c>
      <c r="E271" s="54">
        <f>F271+G271+H271</f>
        <v>0</v>
      </c>
      <c r="F271" s="54">
        <v>0</v>
      </c>
      <c r="G271" s="54">
        <v>0</v>
      </c>
      <c r="H271" s="54">
        <v>0</v>
      </c>
      <c r="I271" s="54">
        <v>0</v>
      </c>
      <c r="J271" s="54">
        <v>0</v>
      </c>
      <c r="K271" s="112">
        <v>0</v>
      </c>
    </row>
    <row r="272" spans="1:11" ht="15.75">
      <c r="A272" s="103"/>
      <c r="B272" s="124">
        <v>2015</v>
      </c>
      <c r="C272" s="54">
        <f t="shared" si="74"/>
        <v>0</v>
      </c>
      <c r="D272" s="54">
        <v>0</v>
      </c>
      <c r="E272" s="54">
        <f>F272+G272+H272</f>
        <v>0</v>
      </c>
      <c r="F272" s="54">
        <v>0</v>
      </c>
      <c r="G272" s="54">
        <v>0</v>
      </c>
      <c r="H272" s="54">
        <v>0</v>
      </c>
      <c r="I272" s="54">
        <v>0</v>
      </c>
      <c r="J272" s="54">
        <v>0</v>
      </c>
      <c r="K272" s="109">
        <v>0</v>
      </c>
    </row>
    <row r="273" spans="1:11" ht="15.75">
      <c r="A273" s="103"/>
      <c r="B273" s="124">
        <v>2016</v>
      </c>
      <c r="C273" s="54">
        <f t="shared" si="74"/>
        <v>0</v>
      </c>
      <c r="D273" s="54">
        <v>0</v>
      </c>
      <c r="E273" s="54">
        <f>F273+G273+H273</f>
        <v>0</v>
      </c>
      <c r="F273" s="54">
        <v>0</v>
      </c>
      <c r="G273" s="54">
        <v>0</v>
      </c>
      <c r="H273" s="54">
        <v>0</v>
      </c>
      <c r="I273" s="54">
        <v>0</v>
      </c>
      <c r="J273" s="54">
        <v>0</v>
      </c>
      <c r="K273" s="109">
        <v>0</v>
      </c>
    </row>
    <row r="274" spans="1:11" ht="15.75">
      <c r="A274" s="103"/>
      <c r="B274" s="124" t="s">
        <v>325</v>
      </c>
      <c r="C274" s="54">
        <f t="shared" si="74"/>
        <v>0</v>
      </c>
      <c r="D274" s="54">
        <v>0</v>
      </c>
      <c r="E274" s="54">
        <v>0</v>
      </c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112">
        <v>0</v>
      </c>
    </row>
    <row r="275" spans="1:11" ht="29.25" customHeight="1">
      <c r="A275" s="5"/>
      <c r="B275" s="123" t="s">
        <v>344</v>
      </c>
      <c r="C275" s="54">
        <f>C276+C283</f>
        <v>5700</v>
      </c>
      <c r="D275" s="54">
        <f>D276+D283</f>
        <v>0</v>
      </c>
      <c r="E275" s="54">
        <f>E276+E277+E278+E279+E280+E281</f>
        <v>0</v>
      </c>
      <c r="F275" s="54">
        <f>F276+F283</f>
        <v>0</v>
      </c>
      <c r="G275" s="54">
        <f>G276+G283</f>
        <v>0</v>
      </c>
      <c r="H275" s="54">
        <f>H276+H283</f>
        <v>3000</v>
      </c>
      <c r="I275" s="54">
        <f>I276+I283</f>
        <v>0</v>
      </c>
      <c r="J275" s="54">
        <f>J276+J283</f>
        <v>2700</v>
      </c>
      <c r="K275" s="112">
        <v>0</v>
      </c>
    </row>
    <row r="276" spans="1:11" ht="38.25">
      <c r="A276" s="5"/>
      <c r="B276" s="123" t="s">
        <v>321</v>
      </c>
      <c r="C276" s="54">
        <f>D276+E276+I276+J276</f>
        <v>2700</v>
      </c>
      <c r="D276" s="54">
        <f>D277+D278+D279+D280+D281+D282</f>
        <v>0</v>
      </c>
      <c r="E276" s="54">
        <f aca="true" t="shared" si="75" ref="E276:E281">F276+G276+H276</f>
        <v>0</v>
      </c>
      <c r="F276" s="54">
        <f>F277+F278+F279+F280+F281+F282</f>
        <v>0</v>
      </c>
      <c r="G276" s="54">
        <f>G277+G278+G279+G280+G281+G282</f>
        <v>0</v>
      </c>
      <c r="H276" s="54">
        <f>H277+H278+H279+H280+H281+H282</f>
        <v>0</v>
      </c>
      <c r="I276" s="54">
        <f>I277+I278+I279+I280+I281+I282</f>
        <v>0</v>
      </c>
      <c r="J276" s="54">
        <f>J277+J278+J279+J280+J281+J282</f>
        <v>2700</v>
      </c>
      <c r="K276" s="112">
        <v>0</v>
      </c>
    </row>
    <row r="277" spans="1:11" ht="12.75">
      <c r="A277" s="5"/>
      <c r="B277" s="124">
        <v>2012</v>
      </c>
      <c r="C277" s="54">
        <f aca="true" t="shared" si="76" ref="C277:C282">D277+E277+I277+J277</f>
        <v>300</v>
      </c>
      <c r="D277" s="54">
        <v>0</v>
      </c>
      <c r="E277" s="54">
        <f t="shared" si="75"/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300</v>
      </c>
      <c r="K277" s="112">
        <v>0</v>
      </c>
    </row>
    <row r="278" spans="1:11" ht="12.75">
      <c r="A278" s="5"/>
      <c r="B278" s="124">
        <v>2013</v>
      </c>
      <c r="C278" s="54">
        <f t="shared" si="76"/>
        <v>300</v>
      </c>
      <c r="D278" s="54">
        <v>0</v>
      </c>
      <c r="E278" s="54">
        <f t="shared" si="75"/>
        <v>0</v>
      </c>
      <c r="F278" s="54">
        <v>0</v>
      </c>
      <c r="G278" s="54">
        <v>0</v>
      </c>
      <c r="H278" s="54">
        <v>0</v>
      </c>
      <c r="I278" s="54">
        <v>0</v>
      </c>
      <c r="J278" s="54">
        <v>300</v>
      </c>
      <c r="K278" s="112">
        <v>0</v>
      </c>
    </row>
    <row r="279" spans="1:11" ht="12.75">
      <c r="A279" s="5"/>
      <c r="B279" s="124">
        <v>2014</v>
      </c>
      <c r="C279" s="54">
        <f t="shared" si="76"/>
        <v>300</v>
      </c>
      <c r="D279" s="54">
        <v>0</v>
      </c>
      <c r="E279" s="54">
        <f t="shared" si="75"/>
        <v>0</v>
      </c>
      <c r="F279" s="54">
        <v>0</v>
      </c>
      <c r="G279" s="54">
        <v>0</v>
      </c>
      <c r="H279" s="54">
        <v>0</v>
      </c>
      <c r="I279" s="54">
        <v>0</v>
      </c>
      <c r="J279" s="54">
        <v>300</v>
      </c>
      <c r="K279" s="109">
        <v>0</v>
      </c>
    </row>
    <row r="280" spans="1:11" ht="12.75">
      <c r="A280" s="5"/>
      <c r="B280" s="124">
        <v>2015</v>
      </c>
      <c r="C280" s="54">
        <f t="shared" si="76"/>
        <v>300</v>
      </c>
      <c r="D280" s="54">
        <v>0</v>
      </c>
      <c r="E280" s="54">
        <f t="shared" si="75"/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300</v>
      </c>
      <c r="K280" s="112">
        <v>0</v>
      </c>
    </row>
    <row r="281" spans="1:11" ht="12.75">
      <c r="A281" s="5"/>
      <c r="B281" s="124">
        <v>2016</v>
      </c>
      <c r="C281" s="54">
        <f t="shared" si="76"/>
        <v>300</v>
      </c>
      <c r="D281" s="54">
        <v>0</v>
      </c>
      <c r="E281" s="54">
        <f t="shared" si="75"/>
        <v>0</v>
      </c>
      <c r="F281" s="54">
        <v>0</v>
      </c>
      <c r="G281" s="54">
        <v>0</v>
      </c>
      <c r="H281" s="54">
        <v>0</v>
      </c>
      <c r="I281" s="54">
        <v>0</v>
      </c>
      <c r="J281" s="54">
        <v>300</v>
      </c>
      <c r="K281" s="112">
        <v>0</v>
      </c>
    </row>
    <row r="282" spans="1:11" ht="12.75">
      <c r="A282" s="5"/>
      <c r="B282" s="124" t="s">
        <v>325</v>
      </c>
      <c r="C282" s="54">
        <f t="shared" si="76"/>
        <v>1200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1200</v>
      </c>
      <c r="K282" s="112">
        <v>0</v>
      </c>
    </row>
    <row r="283" spans="1:11" ht="42" customHeight="1">
      <c r="A283" s="5"/>
      <c r="B283" s="123" t="s">
        <v>345</v>
      </c>
      <c r="C283" s="54">
        <f>D283+E283+I283+J283</f>
        <v>3000</v>
      </c>
      <c r="D283" s="54">
        <f aca="true" t="shared" si="77" ref="D283:J283">D284+D285+D286+D287+D288+D289</f>
        <v>0</v>
      </c>
      <c r="E283" s="54">
        <f>E284+E285+E286+E287+E288+E289</f>
        <v>3000</v>
      </c>
      <c r="F283" s="54">
        <f t="shared" si="77"/>
        <v>0</v>
      </c>
      <c r="G283" s="54">
        <f t="shared" si="77"/>
        <v>0</v>
      </c>
      <c r="H283" s="54">
        <f t="shared" si="77"/>
        <v>3000</v>
      </c>
      <c r="I283" s="54">
        <f t="shared" si="77"/>
        <v>0</v>
      </c>
      <c r="J283" s="54">
        <f t="shared" si="77"/>
        <v>0</v>
      </c>
      <c r="K283" s="112">
        <v>0</v>
      </c>
    </row>
    <row r="284" spans="1:11" ht="12.75">
      <c r="A284" s="5"/>
      <c r="B284" s="124">
        <v>2012</v>
      </c>
      <c r="C284" s="54">
        <f aca="true" t="shared" si="78" ref="C284:C289">D284+E284+I284+J284</f>
        <v>1200</v>
      </c>
      <c r="D284" s="54">
        <v>0</v>
      </c>
      <c r="E284" s="54">
        <f aca="true" t="shared" si="79" ref="E284:E289">F284+G284+H284</f>
        <v>1200</v>
      </c>
      <c r="F284" s="54">
        <v>0</v>
      </c>
      <c r="G284" s="54">
        <v>0</v>
      </c>
      <c r="H284" s="54">
        <v>1200</v>
      </c>
      <c r="I284" s="54">
        <v>0</v>
      </c>
      <c r="J284" s="54">
        <v>0</v>
      </c>
      <c r="K284" s="112">
        <v>0</v>
      </c>
    </row>
    <row r="285" spans="1:11" ht="12.75">
      <c r="A285" s="5"/>
      <c r="B285" s="124">
        <v>2013</v>
      </c>
      <c r="C285" s="54">
        <f t="shared" si="78"/>
        <v>1800</v>
      </c>
      <c r="D285" s="54">
        <v>0</v>
      </c>
      <c r="E285" s="54">
        <f t="shared" si="79"/>
        <v>1800</v>
      </c>
      <c r="F285" s="54">
        <v>0</v>
      </c>
      <c r="G285" s="54">
        <v>0</v>
      </c>
      <c r="H285" s="54">
        <v>1800</v>
      </c>
      <c r="I285" s="54">
        <v>0</v>
      </c>
      <c r="J285" s="54">
        <v>0</v>
      </c>
      <c r="K285" s="112"/>
    </row>
    <row r="286" spans="1:11" ht="12.75">
      <c r="A286" s="5"/>
      <c r="B286" s="124">
        <v>2014</v>
      </c>
      <c r="C286" s="54">
        <f t="shared" si="78"/>
        <v>0</v>
      </c>
      <c r="D286" s="54">
        <v>0</v>
      </c>
      <c r="E286" s="54">
        <f t="shared" si="79"/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</row>
    <row r="287" spans="1:11" ht="12.75">
      <c r="A287" s="5"/>
      <c r="B287" s="124">
        <v>2015</v>
      </c>
      <c r="C287" s="54">
        <f t="shared" si="78"/>
        <v>0</v>
      </c>
      <c r="D287" s="54">
        <v>0</v>
      </c>
      <c r="E287" s="54">
        <f t="shared" si="79"/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  <c r="K287" s="109">
        <v>0</v>
      </c>
    </row>
    <row r="288" spans="1:11" ht="12.75">
      <c r="A288" s="5"/>
      <c r="B288" s="124">
        <v>2016</v>
      </c>
      <c r="C288" s="54">
        <f t="shared" si="78"/>
        <v>0</v>
      </c>
      <c r="D288" s="54">
        <v>0</v>
      </c>
      <c r="E288" s="54">
        <f t="shared" si="79"/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112">
        <v>0</v>
      </c>
    </row>
    <row r="289" spans="1:11" ht="12.75">
      <c r="A289" s="5"/>
      <c r="B289" s="124" t="s">
        <v>325</v>
      </c>
      <c r="C289" s="54">
        <f t="shared" si="78"/>
        <v>0</v>
      </c>
      <c r="D289" s="54">
        <v>0</v>
      </c>
      <c r="E289" s="54">
        <f t="shared" si="79"/>
        <v>0</v>
      </c>
      <c r="F289" s="54">
        <v>0</v>
      </c>
      <c r="G289" s="54">
        <v>0</v>
      </c>
      <c r="H289" s="54">
        <v>0</v>
      </c>
      <c r="I289" s="54">
        <v>0</v>
      </c>
      <c r="J289" s="54">
        <v>0</v>
      </c>
      <c r="K289" s="112">
        <v>0</v>
      </c>
    </row>
    <row r="290" spans="1:11" ht="30" customHeight="1">
      <c r="A290" s="5">
        <v>3</v>
      </c>
      <c r="B290" s="122" t="s">
        <v>310</v>
      </c>
      <c r="C290" s="97">
        <f>C292+C293+C294+C295+C296+C297</f>
        <v>9591963.276999999</v>
      </c>
      <c r="D290" s="97">
        <f>D292+D293+D294+D295+D296+D297</f>
        <v>464599.217</v>
      </c>
      <c r="E290" s="97">
        <f aca="true" t="shared" si="80" ref="E290:J290">E292+E293+E294+E295+E296+E297</f>
        <v>6076653.3</v>
      </c>
      <c r="F290" s="97">
        <f t="shared" si="80"/>
        <v>0</v>
      </c>
      <c r="G290" s="97">
        <f t="shared" si="80"/>
        <v>630000</v>
      </c>
      <c r="H290" s="97">
        <f t="shared" si="80"/>
        <v>5446653.3</v>
      </c>
      <c r="I290" s="97">
        <f t="shared" si="80"/>
        <v>530391.66</v>
      </c>
      <c r="J290" s="97">
        <f t="shared" si="80"/>
        <v>2520319.1</v>
      </c>
      <c r="K290" s="54">
        <f>K299+K307+K322</f>
        <v>0</v>
      </c>
    </row>
    <row r="291" spans="1:11" ht="12.75">
      <c r="A291" s="5"/>
      <c r="B291" s="121" t="s">
        <v>326</v>
      </c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1:11" ht="12.75">
      <c r="A292" s="5"/>
      <c r="B292" s="121" t="s">
        <v>270</v>
      </c>
      <c r="C292" s="96">
        <f>D292+E292+I292+J292</f>
        <v>1764121.617</v>
      </c>
      <c r="D292" s="96">
        <f>D300+D308+D316+D323</f>
        <v>64599.217</v>
      </c>
      <c r="E292" s="96">
        <f aca="true" t="shared" si="81" ref="E292:E297">F292+G292+H292</f>
        <v>574500</v>
      </c>
      <c r="F292" s="96">
        <f aca="true" t="shared" si="82" ref="F292:H297">F300+F308+F316+F323</f>
        <v>0</v>
      </c>
      <c r="G292" s="96">
        <f t="shared" si="82"/>
        <v>70000</v>
      </c>
      <c r="H292" s="96">
        <f t="shared" si="82"/>
        <v>504500</v>
      </c>
      <c r="I292" s="96">
        <f>I300+I308+I316+I323</f>
        <v>52103.3</v>
      </c>
      <c r="J292" s="96">
        <f>J300+J308+J316+J323</f>
        <v>1072919.1</v>
      </c>
      <c r="K292" s="96">
        <f>K300+K308+K323</f>
        <v>0</v>
      </c>
    </row>
    <row r="293" spans="1:13" ht="12.75">
      <c r="A293" s="5"/>
      <c r="B293" s="121" t="s">
        <v>271</v>
      </c>
      <c r="C293" s="96">
        <f aca="true" t="shared" si="83" ref="C293:C298">D293+E293+I293+J293</f>
        <v>1805166.2000000002</v>
      </c>
      <c r="D293" s="96">
        <f aca="true" t="shared" si="84" ref="D293:J293">D301+D309+D317+D324</f>
        <v>50000</v>
      </c>
      <c r="E293" s="96">
        <f t="shared" si="81"/>
        <v>602588.8</v>
      </c>
      <c r="F293" s="96">
        <f t="shared" si="82"/>
        <v>0</v>
      </c>
      <c r="G293" s="96">
        <f t="shared" si="82"/>
        <v>70000</v>
      </c>
      <c r="H293" s="96">
        <f t="shared" si="82"/>
        <v>532588.8</v>
      </c>
      <c r="I293" s="96">
        <f t="shared" si="84"/>
        <v>55177.4</v>
      </c>
      <c r="J293" s="96">
        <f t="shared" si="84"/>
        <v>1097400</v>
      </c>
      <c r="K293" s="96">
        <f>K301+K309+K324</f>
        <v>0</v>
      </c>
      <c r="M293" s="110"/>
    </row>
    <row r="294" spans="1:11" ht="12.75">
      <c r="A294" s="5"/>
      <c r="B294" s="121" t="s">
        <v>272</v>
      </c>
      <c r="C294" s="96">
        <f t="shared" si="83"/>
        <v>787460.9</v>
      </c>
      <c r="D294" s="96">
        <f aca="true" t="shared" si="85" ref="D294:J294">D302+D310+D318+D325</f>
        <v>50000</v>
      </c>
      <c r="E294" s="96">
        <f t="shared" si="81"/>
        <v>629414.3</v>
      </c>
      <c r="F294" s="96">
        <f t="shared" si="82"/>
        <v>0</v>
      </c>
      <c r="G294" s="96">
        <f t="shared" si="82"/>
        <v>70000</v>
      </c>
      <c r="H294" s="96">
        <f t="shared" si="82"/>
        <v>559414.3</v>
      </c>
      <c r="I294" s="96">
        <f t="shared" si="85"/>
        <v>58046.6</v>
      </c>
      <c r="J294" s="96">
        <f t="shared" si="85"/>
        <v>50000</v>
      </c>
      <c r="K294" s="96">
        <f>K302+K310+K325</f>
        <v>0</v>
      </c>
    </row>
    <row r="295" spans="1:11" ht="12.75">
      <c r="A295" s="5"/>
      <c r="B295" s="121" t="s">
        <v>273</v>
      </c>
      <c r="C295" s="96">
        <f t="shared" si="83"/>
        <v>803336.5</v>
      </c>
      <c r="D295" s="96">
        <f aca="true" t="shared" si="86" ref="D295:J295">D303+D311+D319+D326</f>
        <v>50000</v>
      </c>
      <c r="E295" s="96">
        <f t="shared" si="81"/>
        <v>642329.5</v>
      </c>
      <c r="F295" s="96">
        <f t="shared" si="82"/>
        <v>0</v>
      </c>
      <c r="G295" s="96">
        <f t="shared" si="82"/>
        <v>70000</v>
      </c>
      <c r="H295" s="96">
        <f t="shared" si="82"/>
        <v>572329.5</v>
      </c>
      <c r="I295" s="96">
        <f t="shared" si="86"/>
        <v>61007</v>
      </c>
      <c r="J295" s="96">
        <f t="shared" si="86"/>
        <v>50000</v>
      </c>
      <c r="K295" s="96">
        <f>K303+K311+K326</f>
        <v>0</v>
      </c>
    </row>
    <row r="296" spans="1:11" ht="12.75">
      <c r="A296" s="5"/>
      <c r="B296" s="121" t="s">
        <v>274</v>
      </c>
      <c r="C296" s="96">
        <f t="shared" si="83"/>
        <v>834818.0599999999</v>
      </c>
      <c r="D296" s="96">
        <f>D304+D312+D320+D327</f>
        <v>50000</v>
      </c>
      <c r="E296" s="96">
        <f t="shared" si="81"/>
        <v>670760.7</v>
      </c>
      <c r="F296" s="96">
        <f t="shared" si="82"/>
        <v>0</v>
      </c>
      <c r="G296" s="96">
        <f t="shared" si="82"/>
        <v>70000</v>
      </c>
      <c r="H296" s="96">
        <f t="shared" si="82"/>
        <v>600760.7</v>
      </c>
      <c r="I296" s="96">
        <f>I304+I312+I320+I327</f>
        <v>64057.36</v>
      </c>
      <c r="J296" s="96">
        <f>J304+J312+J320+J327</f>
        <v>50000</v>
      </c>
      <c r="K296" s="96">
        <f>K304+K312+K327</f>
        <v>0</v>
      </c>
    </row>
    <row r="297" spans="1:11" ht="12.75">
      <c r="A297" s="5"/>
      <c r="B297" s="121" t="s">
        <v>324</v>
      </c>
      <c r="C297" s="96">
        <f t="shared" si="83"/>
        <v>3597060</v>
      </c>
      <c r="D297" s="96">
        <f>D305+D313+D321+D328</f>
        <v>200000</v>
      </c>
      <c r="E297" s="96">
        <f t="shared" si="81"/>
        <v>2957060</v>
      </c>
      <c r="F297" s="96">
        <f t="shared" si="82"/>
        <v>0</v>
      </c>
      <c r="G297" s="96">
        <f t="shared" si="82"/>
        <v>280000</v>
      </c>
      <c r="H297" s="96">
        <f t="shared" si="82"/>
        <v>2677060</v>
      </c>
      <c r="I297" s="96">
        <f>I305+I313+I321+I328</f>
        <v>240000</v>
      </c>
      <c r="J297" s="96">
        <f>J305+J313+J321+J328</f>
        <v>200000</v>
      </c>
      <c r="K297" s="96"/>
    </row>
    <row r="298" spans="1:11" ht="12.75">
      <c r="A298" s="5"/>
      <c r="B298" s="123" t="s">
        <v>311</v>
      </c>
      <c r="C298" s="54">
        <f t="shared" si="83"/>
        <v>2139800</v>
      </c>
      <c r="D298" s="54">
        <f>D299</f>
        <v>0</v>
      </c>
      <c r="E298" s="54">
        <f aca="true" t="shared" si="87" ref="E298:J298">E299</f>
        <v>45000</v>
      </c>
      <c r="F298" s="54">
        <f t="shared" si="87"/>
        <v>0</v>
      </c>
      <c r="G298" s="54">
        <f t="shared" si="87"/>
        <v>0</v>
      </c>
      <c r="H298" s="54">
        <f t="shared" si="87"/>
        <v>45000</v>
      </c>
      <c r="I298" s="54">
        <f t="shared" si="87"/>
        <v>0</v>
      </c>
      <c r="J298" s="54">
        <f t="shared" si="87"/>
        <v>2094800</v>
      </c>
      <c r="K298" s="109">
        <v>0</v>
      </c>
    </row>
    <row r="299" spans="1:11" s="113" customFormat="1" ht="25.5">
      <c r="A299" s="5"/>
      <c r="B299" s="128" t="s">
        <v>312</v>
      </c>
      <c r="C299" s="54">
        <f aca="true" t="shared" si="88" ref="C299:C328">D299+E299+I299+J299</f>
        <v>2139800</v>
      </c>
      <c r="D299" s="55">
        <v>0</v>
      </c>
      <c r="E299" s="55">
        <f>SUM(E300:E304)</f>
        <v>45000</v>
      </c>
      <c r="F299" s="55">
        <v>0</v>
      </c>
      <c r="G299" s="55">
        <f>SUM(G300:G304)</f>
        <v>0</v>
      </c>
      <c r="H299" s="55">
        <v>45000</v>
      </c>
      <c r="I299" s="55">
        <v>0</v>
      </c>
      <c r="J299" s="55">
        <f>J300+J301+J302+J303+J304+J305</f>
        <v>2094800</v>
      </c>
      <c r="K299" s="114">
        <v>0</v>
      </c>
    </row>
    <row r="300" spans="1:11" s="113" customFormat="1" ht="12.75">
      <c r="A300" s="5"/>
      <c r="B300" s="129">
        <v>2012</v>
      </c>
      <c r="C300" s="54">
        <f t="shared" si="88"/>
        <v>1062400</v>
      </c>
      <c r="D300" s="55">
        <v>0</v>
      </c>
      <c r="E300" s="55">
        <f aca="true" t="shared" si="89" ref="E300:E305">F300+G300+H300</f>
        <v>15000</v>
      </c>
      <c r="F300" s="55">
        <v>0</v>
      </c>
      <c r="G300" s="55">
        <v>0</v>
      </c>
      <c r="H300" s="55">
        <v>15000</v>
      </c>
      <c r="I300" s="55">
        <v>0</v>
      </c>
      <c r="J300" s="55">
        <v>1047400</v>
      </c>
      <c r="K300" s="114">
        <v>0</v>
      </c>
    </row>
    <row r="301" spans="1:11" s="113" customFormat="1" ht="12.75">
      <c r="A301" s="5"/>
      <c r="B301" s="129">
        <v>2013</v>
      </c>
      <c r="C301" s="54">
        <f t="shared" si="88"/>
        <v>1062400</v>
      </c>
      <c r="D301" s="55">
        <v>0</v>
      </c>
      <c r="E301" s="55">
        <f t="shared" si="89"/>
        <v>15000</v>
      </c>
      <c r="F301" s="55">
        <v>0</v>
      </c>
      <c r="G301" s="55">
        <v>0</v>
      </c>
      <c r="H301" s="55">
        <v>15000</v>
      </c>
      <c r="I301" s="55">
        <v>0</v>
      </c>
      <c r="J301" s="55">
        <v>1047400</v>
      </c>
      <c r="K301" s="114">
        <v>0</v>
      </c>
    </row>
    <row r="302" spans="1:11" s="113" customFormat="1" ht="12.75">
      <c r="A302" s="5"/>
      <c r="B302" s="129">
        <v>2014</v>
      </c>
      <c r="C302" s="54">
        <f t="shared" si="88"/>
        <v>15000</v>
      </c>
      <c r="D302" s="55">
        <v>0</v>
      </c>
      <c r="E302" s="55">
        <f t="shared" si="89"/>
        <v>15000</v>
      </c>
      <c r="F302" s="55">
        <v>0</v>
      </c>
      <c r="G302" s="55">
        <v>0</v>
      </c>
      <c r="H302" s="55">
        <v>15000</v>
      </c>
      <c r="I302" s="55">
        <v>0</v>
      </c>
      <c r="J302" s="55">
        <v>0</v>
      </c>
      <c r="K302" s="114">
        <v>0</v>
      </c>
    </row>
    <row r="303" spans="1:11" s="113" customFormat="1" ht="12.75">
      <c r="A303" s="5"/>
      <c r="B303" s="129">
        <v>2015</v>
      </c>
      <c r="C303" s="54">
        <f t="shared" si="88"/>
        <v>0</v>
      </c>
      <c r="D303" s="55">
        <v>0</v>
      </c>
      <c r="E303" s="55">
        <f t="shared" si="89"/>
        <v>0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114">
        <v>0</v>
      </c>
    </row>
    <row r="304" spans="1:11" s="113" customFormat="1" ht="12.75">
      <c r="A304" s="5"/>
      <c r="B304" s="129">
        <v>2016</v>
      </c>
      <c r="C304" s="54">
        <f t="shared" si="88"/>
        <v>0</v>
      </c>
      <c r="D304" s="55">
        <v>0</v>
      </c>
      <c r="E304" s="55">
        <f t="shared" si="89"/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114">
        <v>0</v>
      </c>
    </row>
    <row r="305" spans="1:11" s="113" customFormat="1" ht="12.75">
      <c r="A305" s="5"/>
      <c r="B305" s="129" t="s">
        <v>325</v>
      </c>
      <c r="C305" s="54">
        <f t="shared" si="88"/>
        <v>0</v>
      </c>
      <c r="D305" s="55">
        <v>0</v>
      </c>
      <c r="E305" s="55">
        <f t="shared" si="89"/>
        <v>0</v>
      </c>
      <c r="F305" s="55">
        <v>0</v>
      </c>
      <c r="G305" s="55">
        <v>0</v>
      </c>
      <c r="H305" s="55">
        <v>0</v>
      </c>
      <c r="I305" s="55">
        <v>0</v>
      </c>
      <c r="J305" s="55">
        <v>0</v>
      </c>
      <c r="K305" s="114"/>
    </row>
    <row r="306" spans="1:11" ht="25.5">
      <c r="A306" s="5"/>
      <c r="B306" s="123" t="s">
        <v>313</v>
      </c>
      <c r="C306" s="54">
        <f>D306+E306+I306+J306</f>
        <v>6148209.977</v>
      </c>
      <c r="D306" s="54">
        <f>D307</f>
        <v>464599.217</v>
      </c>
      <c r="E306" s="54">
        <f aca="true" t="shared" si="90" ref="E306:J306">E307</f>
        <v>4727700</v>
      </c>
      <c r="F306" s="54">
        <f t="shared" si="90"/>
        <v>0</v>
      </c>
      <c r="G306" s="54">
        <f t="shared" si="90"/>
        <v>0</v>
      </c>
      <c r="H306" s="54">
        <f t="shared" si="90"/>
        <v>4727700</v>
      </c>
      <c r="I306" s="54">
        <f t="shared" si="90"/>
        <v>530391.66</v>
      </c>
      <c r="J306" s="54">
        <f t="shared" si="90"/>
        <v>425519.1</v>
      </c>
      <c r="K306" s="109">
        <v>0</v>
      </c>
    </row>
    <row r="307" spans="1:11" ht="25.5">
      <c r="A307" s="5"/>
      <c r="B307" s="123" t="s">
        <v>346</v>
      </c>
      <c r="C307" s="54">
        <f>D307+E307+I307+J307</f>
        <v>6148209.977</v>
      </c>
      <c r="D307" s="54">
        <f aca="true" t="shared" si="91" ref="D307:I307">SUM(D308:D313)</f>
        <v>464599.217</v>
      </c>
      <c r="E307" s="54">
        <f t="shared" si="91"/>
        <v>4727700</v>
      </c>
      <c r="F307" s="54">
        <f t="shared" si="91"/>
        <v>0</v>
      </c>
      <c r="G307" s="54">
        <f t="shared" si="91"/>
        <v>0</v>
      </c>
      <c r="H307" s="54">
        <f t="shared" si="91"/>
        <v>4727700</v>
      </c>
      <c r="I307" s="54">
        <f t="shared" si="91"/>
        <v>530391.66</v>
      </c>
      <c r="J307" s="55">
        <f>J308+J309+J310+J311+J312+J313</f>
        <v>425519.1</v>
      </c>
      <c r="K307" s="109">
        <v>0</v>
      </c>
    </row>
    <row r="308" spans="1:11" ht="12.75">
      <c r="A308" s="5"/>
      <c r="B308" s="124">
        <v>2012</v>
      </c>
      <c r="C308" s="54">
        <f>D308+E308+I308+J308</f>
        <v>567021.617</v>
      </c>
      <c r="D308" s="54">
        <v>64599.217</v>
      </c>
      <c r="E308" s="55">
        <f aca="true" t="shared" si="92" ref="E308:E313">F308+G308+H308</f>
        <v>424800</v>
      </c>
      <c r="F308" s="54">
        <v>0</v>
      </c>
      <c r="G308" s="54">
        <v>0</v>
      </c>
      <c r="H308" s="54">
        <v>424800</v>
      </c>
      <c r="I308" s="54">
        <v>52103.3</v>
      </c>
      <c r="J308" s="54">
        <v>25519.1</v>
      </c>
      <c r="K308" s="109">
        <v>0</v>
      </c>
    </row>
    <row r="309" spans="1:11" ht="12.75">
      <c r="A309" s="5"/>
      <c r="B309" s="124">
        <v>2013</v>
      </c>
      <c r="C309" s="54">
        <f t="shared" si="88"/>
        <v>605077.4</v>
      </c>
      <c r="D309" s="54">
        <v>50000</v>
      </c>
      <c r="E309" s="55">
        <f t="shared" si="92"/>
        <v>449900</v>
      </c>
      <c r="F309" s="54">
        <v>0</v>
      </c>
      <c r="G309" s="54">
        <v>0</v>
      </c>
      <c r="H309" s="54">
        <v>449900</v>
      </c>
      <c r="I309" s="54">
        <v>55177.4</v>
      </c>
      <c r="J309" s="54">
        <v>50000</v>
      </c>
      <c r="K309" s="109">
        <v>0</v>
      </c>
    </row>
    <row r="310" spans="1:11" ht="12.75">
      <c r="A310" s="5"/>
      <c r="B310" s="124">
        <v>2014</v>
      </c>
      <c r="C310" s="54">
        <f t="shared" si="88"/>
        <v>631346.6</v>
      </c>
      <c r="D310" s="54">
        <v>50000</v>
      </c>
      <c r="E310" s="55">
        <f t="shared" si="92"/>
        <v>473300</v>
      </c>
      <c r="F310" s="54">
        <v>0</v>
      </c>
      <c r="G310" s="54">
        <v>0</v>
      </c>
      <c r="H310" s="54">
        <v>473300</v>
      </c>
      <c r="I310" s="54">
        <v>58046.6</v>
      </c>
      <c r="J310" s="54">
        <v>50000</v>
      </c>
      <c r="K310" s="109">
        <v>0</v>
      </c>
    </row>
    <row r="311" spans="1:11" ht="12.75">
      <c r="A311" s="5"/>
      <c r="B311" s="124">
        <v>2015</v>
      </c>
      <c r="C311" s="54">
        <f t="shared" si="88"/>
        <v>658407</v>
      </c>
      <c r="D311" s="54">
        <v>50000</v>
      </c>
      <c r="E311" s="55">
        <f t="shared" si="92"/>
        <v>497400</v>
      </c>
      <c r="F311" s="54">
        <v>0</v>
      </c>
      <c r="G311" s="54">
        <v>0</v>
      </c>
      <c r="H311" s="54">
        <v>497400</v>
      </c>
      <c r="I311" s="54">
        <v>61007</v>
      </c>
      <c r="J311" s="54">
        <v>50000</v>
      </c>
      <c r="K311" s="109">
        <v>0</v>
      </c>
    </row>
    <row r="312" spans="1:11" ht="12.75">
      <c r="A312" s="5"/>
      <c r="B312" s="124">
        <v>2016</v>
      </c>
      <c r="C312" s="54">
        <f t="shared" si="88"/>
        <v>686357.36</v>
      </c>
      <c r="D312" s="54">
        <v>50000</v>
      </c>
      <c r="E312" s="55">
        <f t="shared" si="92"/>
        <v>522300</v>
      </c>
      <c r="F312" s="54">
        <v>0</v>
      </c>
      <c r="G312" s="54">
        <v>0</v>
      </c>
      <c r="H312" s="54">
        <v>522300</v>
      </c>
      <c r="I312" s="54">
        <v>64057.36</v>
      </c>
      <c r="J312" s="54">
        <v>50000</v>
      </c>
      <c r="K312" s="109">
        <v>0</v>
      </c>
    </row>
    <row r="313" spans="1:11" ht="12.75">
      <c r="A313" s="5"/>
      <c r="B313" s="124" t="s">
        <v>325</v>
      </c>
      <c r="C313" s="54">
        <f t="shared" si="88"/>
        <v>3000000</v>
      </c>
      <c r="D313" s="54">
        <v>200000</v>
      </c>
      <c r="E313" s="55">
        <f t="shared" si="92"/>
        <v>2360000</v>
      </c>
      <c r="F313" s="54">
        <v>0</v>
      </c>
      <c r="G313" s="54">
        <v>0</v>
      </c>
      <c r="H313" s="54">
        <v>2360000</v>
      </c>
      <c r="I313" s="54">
        <v>240000</v>
      </c>
      <c r="J313" s="54">
        <v>200000</v>
      </c>
      <c r="K313" s="109"/>
    </row>
    <row r="314" spans="1:11" ht="25.5">
      <c r="A314" s="5"/>
      <c r="B314" s="123" t="s">
        <v>317</v>
      </c>
      <c r="C314" s="54">
        <f t="shared" si="88"/>
        <v>1147900</v>
      </c>
      <c r="D314" s="54">
        <f>D315</f>
        <v>0</v>
      </c>
      <c r="E314" s="54">
        <f>E315+E329</f>
        <v>1147900</v>
      </c>
      <c r="F314" s="54">
        <v>0</v>
      </c>
      <c r="G314" s="54">
        <f>G315+G329</f>
        <v>630000</v>
      </c>
      <c r="H314" s="54">
        <f>H315+H329</f>
        <v>517900</v>
      </c>
      <c r="I314" s="54">
        <f>I315</f>
        <v>0</v>
      </c>
      <c r="J314" s="54">
        <v>0</v>
      </c>
      <c r="K314" s="109">
        <v>0</v>
      </c>
    </row>
    <row r="315" spans="1:11" ht="31.5" customHeight="1">
      <c r="A315" s="5"/>
      <c r="B315" s="123" t="s">
        <v>318</v>
      </c>
      <c r="C315" s="54">
        <f t="shared" si="88"/>
        <v>1147900</v>
      </c>
      <c r="D315" s="54">
        <f aca="true" t="shared" si="93" ref="D315:I315">SUM(D316:D320)</f>
        <v>0</v>
      </c>
      <c r="E315" s="54">
        <f>SUM(E316:E321)</f>
        <v>1147900</v>
      </c>
      <c r="F315" s="54">
        <f t="shared" si="93"/>
        <v>0</v>
      </c>
      <c r="G315" s="54">
        <f>SUM(G316:G321)</f>
        <v>630000</v>
      </c>
      <c r="H315" s="54">
        <f>SUM(H316:H321)</f>
        <v>517900</v>
      </c>
      <c r="I315" s="54">
        <f t="shared" si="93"/>
        <v>0</v>
      </c>
      <c r="J315" s="54">
        <v>0</v>
      </c>
      <c r="K315" s="109">
        <v>0</v>
      </c>
    </row>
    <row r="316" spans="1:11" ht="12.75">
      <c r="A316" s="5"/>
      <c r="B316" s="124">
        <v>2012</v>
      </c>
      <c r="C316" s="54">
        <f t="shared" si="88"/>
        <v>120200</v>
      </c>
      <c r="D316" s="54">
        <v>0</v>
      </c>
      <c r="E316" s="55">
        <f aca="true" t="shared" si="94" ref="E316:E321">F316+G316+H316</f>
        <v>120200</v>
      </c>
      <c r="F316" s="54">
        <v>0</v>
      </c>
      <c r="G316" s="54">
        <v>70000</v>
      </c>
      <c r="H316" s="54">
        <v>50200</v>
      </c>
      <c r="I316" s="54">
        <v>0</v>
      </c>
      <c r="J316" s="54">
        <v>0</v>
      </c>
      <c r="K316" s="109">
        <v>0</v>
      </c>
    </row>
    <row r="317" spans="1:11" ht="12.75">
      <c r="A317" s="5"/>
      <c r="B317" s="124">
        <v>2013</v>
      </c>
      <c r="C317" s="54">
        <f t="shared" si="88"/>
        <v>122700</v>
      </c>
      <c r="D317" s="54">
        <v>0</v>
      </c>
      <c r="E317" s="55">
        <f t="shared" si="94"/>
        <v>122700</v>
      </c>
      <c r="F317" s="54">
        <v>0</v>
      </c>
      <c r="G317" s="54">
        <v>70000</v>
      </c>
      <c r="H317" s="54">
        <v>52700</v>
      </c>
      <c r="I317" s="54">
        <v>0</v>
      </c>
      <c r="J317" s="54">
        <v>0</v>
      </c>
      <c r="K317" s="109">
        <v>0</v>
      </c>
    </row>
    <row r="318" spans="1:11" ht="12.75">
      <c r="A318" s="5"/>
      <c r="B318" s="124">
        <v>2014</v>
      </c>
      <c r="C318" s="54">
        <f t="shared" si="88"/>
        <v>125400</v>
      </c>
      <c r="D318" s="54">
        <v>0</v>
      </c>
      <c r="E318" s="55">
        <f t="shared" si="94"/>
        <v>125400</v>
      </c>
      <c r="F318" s="54">
        <v>0</v>
      </c>
      <c r="G318" s="54">
        <v>70000</v>
      </c>
      <c r="H318" s="54">
        <v>55400</v>
      </c>
      <c r="I318" s="54">
        <v>0</v>
      </c>
      <c r="J318" s="54">
        <v>0</v>
      </c>
      <c r="K318" s="109">
        <v>0</v>
      </c>
    </row>
    <row r="319" spans="1:11" ht="12.75">
      <c r="A319" s="5"/>
      <c r="B319" s="124">
        <v>2015</v>
      </c>
      <c r="C319" s="54">
        <f t="shared" si="88"/>
        <v>128500</v>
      </c>
      <c r="D319" s="54">
        <v>0</v>
      </c>
      <c r="E319" s="55">
        <f t="shared" si="94"/>
        <v>128500</v>
      </c>
      <c r="F319" s="54">
        <v>0</v>
      </c>
      <c r="G319" s="54">
        <v>70000</v>
      </c>
      <c r="H319" s="54">
        <v>58500</v>
      </c>
      <c r="I319" s="54">
        <v>0</v>
      </c>
      <c r="J319" s="54">
        <v>0</v>
      </c>
      <c r="K319" s="109">
        <v>0</v>
      </c>
    </row>
    <row r="320" spans="1:11" ht="12.75">
      <c r="A320" s="5"/>
      <c r="B320" s="124">
        <v>2016</v>
      </c>
      <c r="C320" s="54">
        <f t="shared" si="88"/>
        <v>131100</v>
      </c>
      <c r="D320" s="54">
        <v>0</v>
      </c>
      <c r="E320" s="55">
        <f t="shared" si="94"/>
        <v>131100</v>
      </c>
      <c r="F320" s="54">
        <v>0</v>
      </c>
      <c r="G320" s="54">
        <v>70000</v>
      </c>
      <c r="H320" s="54">
        <v>61100</v>
      </c>
      <c r="I320" s="54">
        <v>0</v>
      </c>
      <c r="J320" s="54">
        <v>0</v>
      </c>
      <c r="K320" s="109">
        <v>0</v>
      </c>
    </row>
    <row r="321" spans="1:11" ht="12.75">
      <c r="A321" s="5"/>
      <c r="B321" s="124" t="s">
        <v>325</v>
      </c>
      <c r="C321" s="54">
        <f t="shared" si="88"/>
        <v>520000</v>
      </c>
      <c r="D321" s="54">
        <v>0</v>
      </c>
      <c r="E321" s="55">
        <f t="shared" si="94"/>
        <v>520000</v>
      </c>
      <c r="F321" s="54">
        <v>0</v>
      </c>
      <c r="G321" s="54">
        <v>280000</v>
      </c>
      <c r="H321" s="54">
        <v>240000</v>
      </c>
      <c r="I321" s="54">
        <v>0</v>
      </c>
      <c r="J321" s="54">
        <v>0</v>
      </c>
      <c r="K321" s="115"/>
    </row>
    <row r="322" spans="1:11" s="106" customFormat="1" ht="12.75">
      <c r="A322" s="83"/>
      <c r="B322" s="123" t="s">
        <v>314</v>
      </c>
      <c r="C322" s="54">
        <f t="shared" si="88"/>
        <v>156053.3</v>
      </c>
      <c r="D322" s="109">
        <v>0</v>
      </c>
      <c r="E322" s="116">
        <f>SUM(E323:E328)</f>
        <v>156053.3</v>
      </c>
      <c r="F322" s="54">
        <v>0</v>
      </c>
      <c r="G322" s="54">
        <v>0</v>
      </c>
      <c r="H322" s="54">
        <f>SUM(H323:H328)</f>
        <v>156053.3</v>
      </c>
      <c r="I322" s="54">
        <v>0</v>
      </c>
      <c r="J322" s="54">
        <v>0</v>
      </c>
      <c r="K322" s="117">
        <v>0</v>
      </c>
    </row>
    <row r="323" spans="1:11" ht="12.75">
      <c r="A323" s="5"/>
      <c r="B323" s="124">
        <v>2012</v>
      </c>
      <c r="C323" s="54">
        <f t="shared" si="88"/>
        <v>14500</v>
      </c>
      <c r="D323" s="109">
        <v>0</v>
      </c>
      <c r="E323" s="55">
        <f aca="true" t="shared" si="95" ref="E323:E328">F323+G323+H323</f>
        <v>14500</v>
      </c>
      <c r="F323" s="54">
        <v>0</v>
      </c>
      <c r="G323" s="54">
        <v>0</v>
      </c>
      <c r="H323" s="76">
        <v>14500</v>
      </c>
      <c r="I323" s="54">
        <v>0</v>
      </c>
      <c r="J323" s="54">
        <v>0</v>
      </c>
      <c r="K323" s="118">
        <v>0</v>
      </c>
    </row>
    <row r="324" spans="1:11" ht="12.75">
      <c r="A324" s="5"/>
      <c r="B324" s="124">
        <v>2013</v>
      </c>
      <c r="C324" s="54">
        <f t="shared" si="88"/>
        <v>14988.8</v>
      </c>
      <c r="D324" s="109">
        <v>0</v>
      </c>
      <c r="E324" s="55">
        <f t="shared" si="95"/>
        <v>14988.8</v>
      </c>
      <c r="F324" s="54">
        <v>0</v>
      </c>
      <c r="G324" s="54">
        <v>0</v>
      </c>
      <c r="H324" s="54">
        <v>14988.8</v>
      </c>
      <c r="I324" s="54">
        <v>0</v>
      </c>
      <c r="J324" s="54">
        <v>0</v>
      </c>
      <c r="K324" s="109">
        <v>0</v>
      </c>
    </row>
    <row r="325" spans="1:11" ht="12.75">
      <c r="A325" s="5"/>
      <c r="B325" s="124">
        <v>2014</v>
      </c>
      <c r="C325" s="54">
        <f t="shared" si="88"/>
        <v>15714.3</v>
      </c>
      <c r="D325" s="109">
        <v>0</v>
      </c>
      <c r="E325" s="55">
        <f t="shared" si="95"/>
        <v>15714.3</v>
      </c>
      <c r="F325" s="54">
        <v>0</v>
      </c>
      <c r="G325" s="54">
        <v>0</v>
      </c>
      <c r="H325" s="54">
        <v>15714.3</v>
      </c>
      <c r="I325" s="54">
        <v>0</v>
      </c>
      <c r="J325" s="54">
        <v>0</v>
      </c>
      <c r="K325" s="109">
        <v>0</v>
      </c>
    </row>
    <row r="326" spans="1:11" ht="12.75">
      <c r="A326" s="5"/>
      <c r="B326" s="124">
        <v>2015</v>
      </c>
      <c r="C326" s="54">
        <f t="shared" si="88"/>
        <v>16429.5</v>
      </c>
      <c r="D326" s="109">
        <v>0</v>
      </c>
      <c r="E326" s="55">
        <f t="shared" si="95"/>
        <v>16429.5</v>
      </c>
      <c r="F326" s="54">
        <v>0</v>
      </c>
      <c r="G326" s="54">
        <v>0</v>
      </c>
      <c r="H326" s="54">
        <v>16429.5</v>
      </c>
      <c r="I326" s="54">
        <v>0</v>
      </c>
      <c r="J326" s="54">
        <v>0</v>
      </c>
      <c r="K326" s="109">
        <v>0</v>
      </c>
    </row>
    <row r="327" spans="1:11" ht="12.75">
      <c r="A327" s="5"/>
      <c r="B327" s="124">
        <v>2016</v>
      </c>
      <c r="C327" s="54">
        <f t="shared" si="88"/>
        <v>17360.7</v>
      </c>
      <c r="D327" s="109">
        <v>0</v>
      </c>
      <c r="E327" s="55">
        <f t="shared" si="95"/>
        <v>17360.7</v>
      </c>
      <c r="F327" s="54">
        <v>0</v>
      </c>
      <c r="G327" s="54">
        <v>0</v>
      </c>
      <c r="H327" s="54">
        <v>17360.7</v>
      </c>
      <c r="I327" s="54">
        <v>0</v>
      </c>
      <c r="J327" s="54">
        <v>0</v>
      </c>
      <c r="K327" s="109">
        <v>0</v>
      </c>
    </row>
    <row r="328" spans="1:11" ht="12.75">
      <c r="A328" s="5"/>
      <c r="B328" s="124" t="s">
        <v>325</v>
      </c>
      <c r="C328" s="54">
        <f t="shared" si="88"/>
        <v>77060</v>
      </c>
      <c r="D328" s="109">
        <v>0</v>
      </c>
      <c r="E328" s="55">
        <f t="shared" si="95"/>
        <v>77060</v>
      </c>
      <c r="F328" s="54">
        <v>0</v>
      </c>
      <c r="G328" s="54">
        <v>0</v>
      </c>
      <c r="H328" s="54">
        <v>77060</v>
      </c>
      <c r="I328" s="54">
        <v>0</v>
      </c>
      <c r="J328" s="54">
        <v>0</v>
      </c>
      <c r="K328" s="110"/>
    </row>
    <row r="329" spans="4:11" ht="12.75">
      <c r="D329" s="110"/>
      <c r="E329" s="110"/>
      <c r="F329" s="110"/>
      <c r="G329" s="110"/>
      <c r="H329" s="110"/>
      <c r="I329" s="110"/>
      <c r="J329" s="110"/>
      <c r="K329" s="110"/>
    </row>
    <row r="330" spans="4:11" ht="12.75">
      <c r="D330" s="110"/>
      <c r="E330" s="110"/>
      <c r="F330" s="110"/>
      <c r="G330" s="110"/>
      <c r="H330" s="110"/>
      <c r="I330" s="110"/>
      <c r="J330" s="110"/>
      <c r="K330" s="110"/>
    </row>
    <row r="331" spans="1:11" ht="12.75">
      <c r="A331" s="179" t="s">
        <v>215</v>
      </c>
      <c r="B331" s="180"/>
      <c r="C331" s="180"/>
      <c r="D331" s="180"/>
      <c r="E331" s="180"/>
      <c r="F331" s="180"/>
      <c r="G331" s="180"/>
      <c r="H331" s="180"/>
      <c r="I331" s="180"/>
      <c r="J331" s="180"/>
      <c r="K331" s="110"/>
    </row>
    <row r="332" spans="4:11" ht="12.75">
      <c r="D332" s="110"/>
      <c r="E332" s="110"/>
      <c r="F332" s="110"/>
      <c r="G332" s="110"/>
      <c r="H332" s="110"/>
      <c r="I332" s="110"/>
      <c r="J332" s="110"/>
      <c r="K332" s="110"/>
    </row>
    <row r="333" spans="4:11" ht="12.75">
      <c r="D333" s="110"/>
      <c r="E333" s="110"/>
      <c r="F333" s="110"/>
      <c r="G333" s="110"/>
      <c r="H333" s="110"/>
      <c r="I333" s="110"/>
      <c r="J333" s="110"/>
      <c r="K333" s="110"/>
    </row>
    <row r="334" spans="4:11" ht="12.75">
      <c r="D334" s="110"/>
      <c r="E334" s="110"/>
      <c r="F334" s="110"/>
      <c r="G334" s="110"/>
      <c r="H334" s="110"/>
      <c r="I334" s="110"/>
      <c r="J334" s="110"/>
      <c r="K334" s="110"/>
    </row>
    <row r="335" spans="4:11" ht="12.75">
      <c r="D335" s="110"/>
      <c r="E335" s="110"/>
      <c r="F335" s="110"/>
      <c r="G335" s="110"/>
      <c r="H335" s="110"/>
      <c r="I335" s="110"/>
      <c r="J335" s="110"/>
      <c r="K335" s="110"/>
    </row>
    <row r="336" spans="4:11" ht="12.75">
      <c r="D336" s="110"/>
      <c r="E336" s="110"/>
      <c r="F336" s="110"/>
      <c r="G336" s="110"/>
      <c r="H336" s="110"/>
      <c r="I336" s="110"/>
      <c r="J336" s="110"/>
      <c r="K336" s="110"/>
    </row>
    <row r="337" spans="4:11" ht="12.75">
      <c r="D337" s="110"/>
      <c r="E337" s="110"/>
      <c r="F337" s="110"/>
      <c r="G337" s="110"/>
      <c r="H337" s="110"/>
      <c r="I337" s="110"/>
      <c r="J337" s="110"/>
      <c r="K337" s="110"/>
    </row>
    <row r="338" spans="4:11" ht="12.75">
      <c r="D338" s="110"/>
      <c r="E338" s="110"/>
      <c r="F338" s="110"/>
      <c r="G338" s="110"/>
      <c r="H338" s="110"/>
      <c r="I338" s="110"/>
      <c r="J338" s="110"/>
      <c r="K338" s="110"/>
    </row>
    <row r="339" spans="4:11" ht="12.75">
      <c r="D339" s="110"/>
      <c r="E339" s="110"/>
      <c r="F339" s="110"/>
      <c r="G339" s="110"/>
      <c r="H339" s="110"/>
      <c r="I339" s="110"/>
      <c r="J339" s="110"/>
      <c r="K339" s="110"/>
    </row>
    <row r="340" spans="4:11" ht="12.75">
      <c r="D340" s="110"/>
      <c r="E340" s="110"/>
      <c r="F340" s="110"/>
      <c r="G340" s="110"/>
      <c r="H340" s="110"/>
      <c r="I340" s="110"/>
      <c r="J340" s="110"/>
      <c r="K340" s="110"/>
    </row>
    <row r="341" spans="4:11" ht="12.75">
      <c r="D341" s="110"/>
      <c r="E341" s="110"/>
      <c r="F341" s="110"/>
      <c r="G341" s="110"/>
      <c r="H341" s="110"/>
      <c r="I341" s="110"/>
      <c r="J341" s="110"/>
      <c r="K341" s="110"/>
    </row>
    <row r="342" spans="4:11" ht="12.75">
      <c r="D342" s="110"/>
      <c r="E342" s="110"/>
      <c r="F342" s="110"/>
      <c r="G342" s="110"/>
      <c r="H342" s="110"/>
      <c r="I342" s="110"/>
      <c r="J342" s="110"/>
      <c r="K342" s="110"/>
    </row>
    <row r="343" spans="4:11" ht="12.75">
      <c r="D343" s="110"/>
      <c r="E343" s="110"/>
      <c r="F343" s="110"/>
      <c r="G343" s="110"/>
      <c r="H343" s="110"/>
      <c r="I343" s="110"/>
      <c r="J343" s="110"/>
      <c r="K343" s="110"/>
    </row>
    <row r="344" spans="4:11" ht="12.75">
      <c r="D344" s="110"/>
      <c r="E344" s="110"/>
      <c r="F344" s="110"/>
      <c r="G344" s="110"/>
      <c r="H344" s="110"/>
      <c r="I344" s="110"/>
      <c r="J344" s="110"/>
      <c r="K344" s="110"/>
    </row>
    <row r="345" spans="4:11" ht="12.75">
      <c r="D345" s="110"/>
      <c r="E345" s="110"/>
      <c r="F345" s="110"/>
      <c r="G345" s="110"/>
      <c r="H345" s="110"/>
      <c r="I345" s="110"/>
      <c r="J345" s="110"/>
      <c r="K345" s="110"/>
    </row>
    <row r="346" spans="4:11" ht="12.75">
      <c r="D346" s="110"/>
      <c r="E346" s="110"/>
      <c r="F346" s="110"/>
      <c r="G346" s="110"/>
      <c r="H346" s="110"/>
      <c r="I346" s="110"/>
      <c r="J346" s="110"/>
      <c r="K346" s="110"/>
    </row>
    <row r="347" spans="4:11" ht="12.75">
      <c r="D347" s="110"/>
      <c r="E347" s="110"/>
      <c r="F347" s="110"/>
      <c r="G347" s="110"/>
      <c r="H347" s="110"/>
      <c r="I347" s="110"/>
      <c r="J347" s="110"/>
      <c r="K347" s="110"/>
    </row>
    <row r="348" spans="4:11" ht="12.75">
      <c r="D348" s="110"/>
      <c r="E348" s="110"/>
      <c r="F348" s="110"/>
      <c r="G348" s="110"/>
      <c r="H348" s="110"/>
      <c r="I348" s="110"/>
      <c r="J348" s="110"/>
      <c r="K348" s="110"/>
    </row>
    <row r="349" spans="4:11" ht="12.75">
      <c r="D349" s="110"/>
      <c r="E349" s="110"/>
      <c r="F349" s="110"/>
      <c r="G349" s="110"/>
      <c r="H349" s="110"/>
      <c r="I349" s="110"/>
      <c r="J349" s="110"/>
      <c r="K349" s="110"/>
    </row>
    <row r="350" spans="4:11" ht="12.75">
      <c r="D350" s="110"/>
      <c r="E350" s="110"/>
      <c r="F350" s="110"/>
      <c r="G350" s="110"/>
      <c r="H350" s="110"/>
      <c r="I350" s="110"/>
      <c r="J350" s="110"/>
      <c r="K350" s="110"/>
    </row>
    <row r="351" spans="4:11" ht="12.75">
      <c r="D351" s="110"/>
      <c r="E351" s="110"/>
      <c r="F351" s="110"/>
      <c r="G351" s="110"/>
      <c r="H351" s="110"/>
      <c r="I351" s="110"/>
      <c r="J351" s="110"/>
      <c r="K351" s="110"/>
    </row>
    <row r="352" spans="4:11" ht="12.75">
      <c r="D352" s="110"/>
      <c r="E352" s="110"/>
      <c r="F352" s="110"/>
      <c r="G352" s="110"/>
      <c r="H352" s="110"/>
      <c r="I352" s="110"/>
      <c r="J352" s="110"/>
      <c r="K352" s="110"/>
    </row>
    <row r="353" spans="4:11" ht="12.75">
      <c r="D353" s="110"/>
      <c r="E353" s="110"/>
      <c r="F353" s="110"/>
      <c r="G353" s="110"/>
      <c r="H353" s="110"/>
      <c r="I353" s="110"/>
      <c r="J353" s="110"/>
      <c r="K353" s="110"/>
    </row>
    <row r="354" spans="4:11" ht="12.75">
      <c r="D354" s="110"/>
      <c r="E354" s="110"/>
      <c r="F354" s="110"/>
      <c r="G354" s="110"/>
      <c r="H354" s="110"/>
      <c r="I354" s="110"/>
      <c r="J354" s="110"/>
      <c r="K354" s="110"/>
    </row>
    <row r="355" spans="4:11" ht="12.75">
      <c r="D355" s="110"/>
      <c r="E355" s="110"/>
      <c r="F355" s="110"/>
      <c r="G355" s="110"/>
      <c r="H355" s="110"/>
      <c r="I355" s="110"/>
      <c r="J355" s="110"/>
      <c r="K355" s="110"/>
    </row>
    <row r="356" spans="4:11" ht="12.75">
      <c r="D356" s="110"/>
      <c r="E356" s="110"/>
      <c r="F356" s="110"/>
      <c r="G356" s="110"/>
      <c r="H356" s="110"/>
      <c r="I356" s="110"/>
      <c r="J356" s="110"/>
      <c r="K356" s="110"/>
    </row>
    <row r="357" spans="4:11" ht="12.75">
      <c r="D357" s="110"/>
      <c r="E357" s="110"/>
      <c r="F357" s="110"/>
      <c r="G357" s="110"/>
      <c r="H357" s="110"/>
      <c r="I357" s="110"/>
      <c r="J357" s="110"/>
      <c r="K357" s="110"/>
    </row>
    <row r="358" spans="4:11" ht="12.75">
      <c r="D358" s="110"/>
      <c r="E358" s="110"/>
      <c r="F358" s="110"/>
      <c r="G358" s="110"/>
      <c r="H358" s="110"/>
      <c r="I358" s="110"/>
      <c r="J358" s="110"/>
      <c r="K358" s="110"/>
    </row>
    <row r="359" spans="4:11" ht="12.75">
      <c r="D359" s="110"/>
      <c r="E359" s="110"/>
      <c r="F359" s="110"/>
      <c r="G359" s="110"/>
      <c r="H359" s="110"/>
      <c r="I359" s="110"/>
      <c r="J359" s="110"/>
      <c r="K359" s="110"/>
    </row>
    <row r="360" spans="4:11" ht="12.75">
      <c r="D360" s="110"/>
      <c r="E360" s="110"/>
      <c r="F360" s="110"/>
      <c r="G360" s="110"/>
      <c r="H360" s="110"/>
      <c r="I360" s="110"/>
      <c r="J360" s="110"/>
      <c r="K360" s="110"/>
    </row>
    <row r="361" spans="4:11" ht="12.75">
      <c r="D361" s="110"/>
      <c r="E361" s="110"/>
      <c r="F361" s="110"/>
      <c r="G361" s="110"/>
      <c r="H361" s="110"/>
      <c r="I361" s="110"/>
      <c r="J361" s="110"/>
      <c r="K361" s="110"/>
    </row>
    <row r="362" spans="4:11" ht="12.75">
      <c r="D362" s="110"/>
      <c r="E362" s="110"/>
      <c r="F362" s="110"/>
      <c r="G362" s="110"/>
      <c r="H362" s="110"/>
      <c r="I362" s="110"/>
      <c r="J362" s="110"/>
      <c r="K362" s="110"/>
    </row>
    <row r="363" spans="4:11" ht="12.75">
      <c r="D363" s="110"/>
      <c r="E363" s="110"/>
      <c r="F363" s="110"/>
      <c r="G363" s="110"/>
      <c r="H363" s="110"/>
      <c r="I363" s="110"/>
      <c r="J363" s="110"/>
      <c r="K363" s="110"/>
    </row>
    <row r="364" spans="4:11" ht="12.75">
      <c r="D364" s="110"/>
      <c r="E364" s="110"/>
      <c r="F364" s="110"/>
      <c r="G364" s="110"/>
      <c r="H364" s="110"/>
      <c r="I364" s="110"/>
      <c r="J364" s="110"/>
      <c r="K364" s="110"/>
    </row>
    <row r="365" spans="4:11" ht="12.75">
      <c r="D365" s="110"/>
      <c r="E365" s="110"/>
      <c r="F365" s="110"/>
      <c r="G365" s="110"/>
      <c r="H365" s="110"/>
      <c r="I365" s="110"/>
      <c r="J365" s="110"/>
      <c r="K365" s="110"/>
    </row>
    <row r="366" spans="4:11" ht="12.75">
      <c r="D366" s="110"/>
      <c r="E366" s="110"/>
      <c r="F366" s="110"/>
      <c r="G366" s="110"/>
      <c r="H366" s="110"/>
      <c r="I366" s="110"/>
      <c r="J366" s="110"/>
      <c r="K366" s="110"/>
    </row>
    <row r="367" spans="4:11" ht="12.75">
      <c r="D367" s="110"/>
      <c r="E367" s="110"/>
      <c r="F367" s="110"/>
      <c r="G367" s="110"/>
      <c r="H367" s="110"/>
      <c r="I367" s="110"/>
      <c r="J367" s="110"/>
      <c r="K367" s="110"/>
    </row>
    <row r="368" spans="4:11" ht="12.75">
      <c r="D368" s="110"/>
      <c r="E368" s="110"/>
      <c r="F368" s="110"/>
      <c r="G368" s="110"/>
      <c r="H368" s="110"/>
      <c r="I368" s="110"/>
      <c r="J368" s="110"/>
      <c r="K368" s="110"/>
    </row>
    <row r="369" spans="4:11" ht="12.75">
      <c r="D369" s="110"/>
      <c r="E369" s="110"/>
      <c r="F369" s="110"/>
      <c r="G369" s="110"/>
      <c r="H369" s="110"/>
      <c r="I369" s="110"/>
      <c r="J369" s="110"/>
      <c r="K369" s="110"/>
    </row>
    <row r="370" spans="4:11" ht="12.75">
      <c r="D370" s="110"/>
      <c r="E370" s="110"/>
      <c r="F370" s="110"/>
      <c r="G370" s="110"/>
      <c r="H370" s="110"/>
      <c r="I370" s="110"/>
      <c r="J370" s="110"/>
      <c r="K370" s="110"/>
    </row>
    <row r="371" spans="4:11" ht="12.75">
      <c r="D371" s="110"/>
      <c r="E371" s="110"/>
      <c r="F371" s="110"/>
      <c r="G371" s="110"/>
      <c r="H371" s="110"/>
      <c r="I371" s="110"/>
      <c r="J371" s="110"/>
      <c r="K371" s="110"/>
    </row>
    <row r="372" spans="4:11" ht="12.75">
      <c r="D372" s="110"/>
      <c r="E372" s="110"/>
      <c r="F372" s="110"/>
      <c r="G372" s="110"/>
      <c r="H372" s="110"/>
      <c r="I372" s="110"/>
      <c r="J372" s="110"/>
      <c r="K372" s="110"/>
    </row>
    <row r="373" spans="4:11" ht="12.75">
      <c r="D373" s="110"/>
      <c r="E373" s="110"/>
      <c r="F373" s="110"/>
      <c r="G373" s="110"/>
      <c r="H373" s="110"/>
      <c r="I373" s="110"/>
      <c r="J373" s="110"/>
      <c r="K373" s="110"/>
    </row>
    <row r="374" spans="4:11" ht="12.75">
      <c r="D374" s="110"/>
      <c r="E374" s="110"/>
      <c r="F374" s="110"/>
      <c r="G374" s="110"/>
      <c r="H374" s="110"/>
      <c r="I374" s="110"/>
      <c r="J374" s="110"/>
      <c r="K374" s="110"/>
    </row>
    <row r="375" spans="4:11" ht="12.75">
      <c r="D375" s="110"/>
      <c r="E375" s="110"/>
      <c r="F375" s="110"/>
      <c r="G375" s="110"/>
      <c r="H375" s="110"/>
      <c r="I375" s="110"/>
      <c r="J375" s="110"/>
      <c r="K375" s="110"/>
    </row>
    <row r="376" spans="4:11" ht="12.75">
      <c r="D376" s="110"/>
      <c r="E376" s="110"/>
      <c r="F376" s="110"/>
      <c r="G376" s="110"/>
      <c r="H376" s="110"/>
      <c r="I376" s="110"/>
      <c r="J376" s="110"/>
      <c r="K376" s="110"/>
    </row>
    <row r="377" spans="4:11" ht="12.75">
      <c r="D377" s="110"/>
      <c r="E377" s="110"/>
      <c r="F377" s="110"/>
      <c r="G377" s="110"/>
      <c r="H377" s="110"/>
      <c r="I377" s="110"/>
      <c r="J377" s="110"/>
      <c r="K377" s="110"/>
    </row>
    <row r="378" spans="4:11" ht="12.75">
      <c r="D378" s="110"/>
      <c r="E378" s="110"/>
      <c r="F378" s="110"/>
      <c r="G378" s="110"/>
      <c r="H378" s="110"/>
      <c r="I378" s="110"/>
      <c r="J378" s="110"/>
      <c r="K378" s="110"/>
    </row>
    <row r="379" spans="4:11" ht="12.75">
      <c r="D379" s="110"/>
      <c r="E379" s="110"/>
      <c r="F379" s="110"/>
      <c r="G379" s="110"/>
      <c r="H379" s="110"/>
      <c r="I379" s="110"/>
      <c r="J379" s="110"/>
      <c r="K379" s="110"/>
    </row>
    <row r="380" spans="4:11" ht="12.75">
      <c r="D380" s="110"/>
      <c r="E380" s="110"/>
      <c r="F380" s="110"/>
      <c r="G380" s="110"/>
      <c r="H380" s="110"/>
      <c r="I380" s="110"/>
      <c r="J380" s="110"/>
      <c r="K380" s="110"/>
    </row>
    <row r="381" spans="4:11" ht="12.75">
      <c r="D381" s="110"/>
      <c r="E381" s="110"/>
      <c r="F381" s="110"/>
      <c r="G381" s="110"/>
      <c r="H381" s="110"/>
      <c r="I381" s="110"/>
      <c r="J381" s="110"/>
      <c r="K381" s="110"/>
    </row>
    <row r="382" spans="4:11" ht="12.75">
      <c r="D382" s="110"/>
      <c r="E382" s="110"/>
      <c r="F382" s="110"/>
      <c r="G382" s="110"/>
      <c r="H382" s="110"/>
      <c r="I382" s="110"/>
      <c r="J382" s="110"/>
      <c r="K382" s="110"/>
    </row>
    <row r="383" spans="4:11" ht="12.75">
      <c r="D383" s="110"/>
      <c r="E383" s="110"/>
      <c r="F383" s="110"/>
      <c r="G383" s="110"/>
      <c r="H383" s="110"/>
      <c r="I383" s="110"/>
      <c r="J383" s="110"/>
      <c r="K383" s="110"/>
    </row>
    <row r="384" spans="4:11" ht="12.75">
      <c r="D384" s="110"/>
      <c r="E384" s="110"/>
      <c r="F384" s="110"/>
      <c r="G384" s="110"/>
      <c r="H384" s="110"/>
      <c r="I384" s="110"/>
      <c r="J384" s="110"/>
      <c r="K384" s="110"/>
    </row>
    <row r="385" spans="4:11" ht="12.75">
      <c r="D385" s="110"/>
      <c r="E385" s="110"/>
      <c r="F385" s="110"/>
      <c r="G385" s="110"/>
      <c r="H385" s="110"/>
      <c r="I385" s="110"/>
      <c r="J385" s="110"/>
      <c r="K385" s="110"/>
    </row>
    <row r="386" spans="4:11" ht="12.75">
      <c r="D386" s="110"/>
      <c r="E386" s="110"/>
      <c r="F386" s="110"/>
      <c r="G386" s="110"/>
      <c r="H386" s="110"/>
      <c r="I386" s="110"/>
      <c r="J386" s="110"/>
      <c r="K386" s="110"/>
    </row>
    <row r="387" spans="4:11" ht="12.75">
      <c r="D387" s="110"/>
      <c r="E387" s="110"/>
      <c r="F387" s="110"/>
      <c r="G387" s="110"/>
      <c r="H387" s="110"/>
      <c r="I387" s="110"/>
      <c r="J387" s="110"/>
      <c r="K387" s="110"/>
    </row>
    <row r="388" spans="4:11" ht="12.75">
      <c r="D388" s="110"/>
      <c r="E388" s="110"/>
      <c r="F388" s="110"/>
      <c r="G388" s="110"/>
      <c r="H388" s="110"/>
      <c r="I388" s="110"/>
      <c r="J388" s="110"/>
      <c r="K388" s="110"/>
    </row>
    <row r="389" spans="4:11" ht="12.75">
      <c r="D389" s="110"/>
      <c r="E389" s="110"/>
      <c r="F389" s="110"/>
      <c r="G389" s="110"/>
      <c r="H389" s="110"/>
      <c r="I389" s="110"/>
      <c r="J389" s="110"/>
      <c r="K389" s="110"/>
    </row>
    <row r="390" spans="4:11" ht="12.75">
      <c r="D390" s="110"/>
      <c r="E390" s="110"/>
      <c r="F390" s="110"/>
      <c r="G390" s="110"/>
      <c r="H390" s="110"/>
      <c r="I390" s="110"/>
      <c r="J390" s="110"/>
      <c r="K390" s="110"/>
    </row>
    <row r="391" spans="4:11" ht="12.75">
      <c r="D391" s="110"/>
      <c r="E391" s="110"/>
      <c r="F391" s="110"/>
      <c r="G391" s="110"/>
      <c r="H391" s="110"/>
      <c r="I391" s="110"/>
      <c r="J391" s="110"/>
      <c r="K391" s="110"/>
    </row>
    <row r="392" spans="4:11" ht="12.75">
      <c r="D392" s="110"/>
      <c r="E392" s="110"/>
      <c r="F392" s="110"/>
      <c r="G392" s="110"/>
      <c r="H392" s="110"/>
      <c r="I392" s="110"/>
      <c r="J392" s="110"/>
      <c r="K392" s="110"/>
    </row>
    <row r="393" spans="4:11" ht="12.75">
      <c r="D393" s="110"/>
      <c r="E393" s="110"/>
      <c r="F393" s="110"/>
      <c r="G393" s="110"/>
      <c r="H393" s="110"/>
      <c r="I393" s="110"/>
      <c r="J393" s="110"/>
      <c r="K393" s="110"/>
    </row>
    <row r="394" spans="4:11" ht="12.75">
      <c r="D394" s="110"/>
      <c r="E394" s="110"/>
      <c r="F394" s="110"/>
      <c r="G394" s="110"/>
      <c r="H394" s="110"/>
      <c r="I394" s="110"/>
      <c r="J394" s="110"/>
      <c r="K394" s="110"/>
    </row>
    <row r="395" spans="4:11" ht="12.75">
      <c r="D395" s="110"/>
      <c r="E395" s="110"/>
      <c r="F395" s="110"/>
      <c r="G395" s="110"/>
      <c r="H395" s="110"/>
      <c r="I395" s="110"/>
      <c r="J395" s="110"/>
      <c r="K395" s="110"/>
    </row>
    <row r="396" spans="4:11" ht="12.75">
      <c r="D396" s="110"/>
      <c r="E396" s="110"/>
      <c r="F396" s="110"/>
      <c r="G396" s="110"/>
      <c r="H396" s="110"/>
      <c r="I396" s="110"/>
      <c r="J396" s="110"/>
      <c r="K396" s="110"/>
    </row>
    <row r="397" spans="4:11" ht="12.75">
      <c r="D397" s="110"/>
      <c r="E397" s="110"/>
      <c r="F397" s="110"/>
      <c r="G397" s="110"/>
      <c r="H397" s="110"/>
      <c r="I397" s="110"/>
      <c r="J397" s="110"/>
      <c r="K397" s="110"/>
    </row>
    <row r="398" spans="4:11" ht="12.75">
      <c r="D398" s="110"/>
      <c r="E398" s="110"/>
      <c r="F398" s="110"/>
      <c r="G398" s="110"/>
      <c r="H398" s="110"/>
      <c r="I398" s="110"/>
      <c r="J398" s="110"/>
      <c r="K398" s="110"/>
    </row>
    <row r="399" spans="4:11" ht="12.75">
      <c r="D399" s="110"/>
      <c r="E399" s="110"/>
      <c r="F399" s="110"/>
      <c r="G399" s="110"/>
      <c r="H399" s="110"/>
      <c r="I399" s="110"/>
      <c r="J399" s="110"/>
      <c r="K399" s="110"/>
    </row>
    <row r="400" spans="4:11" ht="12.75">
      <c r="D400" s="110"/>
      <c r="E400" s="110"/>
      <c r="F400" s="110"/>
      <c r="G400" s="110"/>
      <c r="H400" s="110"/>
      <c r="I400" s="110"/>
      <c r="J400" s="110"/>
      <c r="K400" s="110"/>
    </row>
    <row r="401" spans="4:11" ht="12.75">
      <c r="D401" s="110"/>
      <c r="E401" s="110"/>
      <c r="F401" s="110"/>
      <c r="G401" s="110"/>
      <c r="H401" s="110"/>
      <c r="I401" s="110"/>
      <c r="J401" s="110"/>
      <c r="K401" s="110"/>
    </row>
    <row r="402" spans="4:11" ht="12.75">
      <c r="D402" s="110"/>
      <c r="E402" s="110"/>
      <c r="F402" s="110"/>
      <c r="G402" s="110"/>
      <c r="H402" s="110"/>
      <c r="I402" s="110"/>
      <c r="J402" s="110"/>
      <c r="K402" s="110"/>
    </row>
    <row r="403" spans="4:11" ht="12.75">
      <c r="D403" s="110"/>
      <c r="E403" s="110"/>
      <c r="F403" s="110"/>
      <c r="G403" s="110"/>
      <c r="H403" s="110"/>
      <c r="I403" s="110"/>
      <c r="J403" s="110"/>
      <c r="K403" s="110"/>
    </row>
    <row r="404" spans="4:11" ht="12.75">
      <c r="D404" s="110"/>
      <c r="E404" s="110"/>
      <c r="F404" s="110"/>
      <c r="G404" s="110"/>
      <c r="H404" s="110"/>
      <c r="I404" s="110"/>
      <c r="J404" s="110"/>
      <c r="K404" s="110"/>
    </row>
  </sheetData>
  <sheetProtection/>
  <mergeCells count="13">
    <mergeCell ref="G1:K1"/>
    <mergeCell ref="G2:K2"/>
    <mergeCell ref="J5:J6"/>
    <mergeCell ref="K5:K6"/>
    <mergeCell ref="F5:H5"/>
    <mergeCell ref="I5:I6"/>
    <mergeCell ref="A3:K3"/>
    <mergeCell ref="A331:J331"/>
    <mergeCell ref="A5:A6"/>
    <mergeCell ref="B5:B6"/>
    <mergeCell ref="C5:C6"/>
    <mergeCell ref="D5:D6"/>
    <mergeCell ref="E5:E6"/>
  </mergeCells>
  <printOptions/>
  <pageMargins left="0" right="0" top="0.7874015748031497" bottom="0.3937007874015748" header="0.31496062992125984" footer="0.1968503937007874"/>
  <pageSetup fitToHeight="10" horizontalDpi="600" verticalDpi="600" orientation="landscape" paperSize="9" scale="85" r:id="rId1"/>
  <headerFooter alignWithMargins="0">
    <oddHeader>&amp;C&amp;P</oddHeader>
  </headerFooter>
  <rowBreaks count="9" manualBreakCount="9">
    <brk id="36" max="9" man="1"/>
    <brk id="70" max="9" man="1"/>
    <brk id="105" max="9" man="1"/>
    <brk id="139" max="9" man="1"/>
    <brk id="173" max="9" man="1"/>
    <brk id="210" max="9" man="1"/>
    <brk id="244" max="9" man="1"/>
    <brk id="267" max="9" man="1"/>
    <brk id="29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="50" zoomScaleSheetLayoutView="50" zoomScalePageLayoutView="50" workbookViewId="0" topLeftCell="E1">
      <selection activeCell="N5" sqref="N5"/>
    </sheetView>
  </sheetViews>
  <sheetFormatPr defaultColWidth="9.00390625" defaultRowHeight="12.75"/>
  <cols>
    <col min="1" max="1" width="3.625" style="86" bestFit="1" customWidth="1"/>
    <col min="2" max="2" width="38.25390625" style="86" customWidth="1"/>
    <col min="3" max="3" width="39.375" style="86" customWidth="1"/>
    <col min="4" max="4" width="23.625" style="86" customWidth="1"/>
    <col min="5" max="5" width="27.25390625" style="86" customWidth="1"/>
    <col min="6" max="6" width="21.875" style="86" customWidth="1"/>
    <col min="7" max="7" width="20.25390625" style="86" customWidth="1"/>
    <col min="8" max="8" width="23.00390625" style="86" customWidth="1"/>
    <col min="9" max="9" width="19.25390625" style="86" customWidth="1"/>
    <col min="10" max="10" width="20.375" style="86" customWidth="1"/>
    <col min="11" max="11" width="21.00390625" style="86" customWidth="1"/>
    <col min="12" max="12" width="21.125" style="86" customWidth="1"/>
    <col min="13" max="13" width="20.625" style="86" customWidth="1"/>
    <col min="14" max="14" width="17.625" style="86" customWidth="1"/>
    <col min="15" max="15" width="17.875" style="86" customWidth="1"/>
    <col min="16" max="16" width="19.25390625" style="86" customWidth="1"/>
    <col min="17" max="17" width="17.875" style="86" customWidth="1"/>
    <col min="18" max="18" width="18.75390625" style="86" customWidth="1"/>
    <col min="19" max="19" width="19.625" style="86" customWidth="1"/>
    <col min="20" max="20" width="20.125" style="86" customWidth="1"/>
    <col min="21" max="21" width="17.25390625" style="86" customWidth="1"/>
    <col min="22" max="22" width="19.125" style="86" customWidth="1"/>
    <col min="23" max="23" width="16.625" style="86" customWidth="1"/>
    <col min="24" max="24" width="18.875" style="86" customWidth="1"/>
    <col min="25" max="26" width="16.625" style="86" customWidth="1"/>
    <col min="27" max="27" width="16.75390625" style="86" customWidth="1"/>
    <col min="28" max="16384" width="9.125" style="86" customWidth="1"/>
  </cols>
  <sheetData>
    <row r="1" spans="6:27" ht="22.5" customHeight="1">
      <c r="F1" s="209" t="s">
        <v>352</v>
      </c>
      <c r="G1" s="209"/>
      <c r="H1" s="209"/>
      <c r="I1" s="209"/>
      <c r="J1" s="209"/>
      <c r="K1" s="209"/>
      <c r="T1" s="173"/>
      <c r="U1" s="173"/>
      <c r="V1" s="173"/>
      <c r="W1" s="173"/>
      <c r="X1" s="173"/>
      <c r="Y1" s="173"/>
      <c r="Z1" s="173"/>
      <c r="AA1" s="173"/>
    </row>
    <row r="2" spans="6:27" ht="47.25" customHeight="1">
      <c r="F2" s="210" t="s">
        <v>401</v>
      </c>
      <c r="G2" s="210"/>
      <c r="H2" s="210"/>
      <c r="I2" s="210"/>
      <c r="J2" s="210"/>
      <c r="K2" s="210"/>
      <c r="Q2" s="211" t="s">
        <v>399</v>
      </c>
      <c r="R2" s="211"/>
      <c r="S2" s="211"/>
      <c r="T2" s="174"/>
      <c r="U2" s="174"/>
      <c r="V2" s="174"/>
      <c r="W2" s="174"/>
      <c r="X2" s="174"/>
      <c r="Y2" s="211" t="s">
        <v>399</v>
      </c>
      <c r="Z2" s="211"/>
      <c r="AA2" s="211"/>
    </row>
    <row r="3" spans="2:26" ht="17.25" customHeight="1">
      <c r="B3" s="87"/>
      <c r="Z3" s="88"/>
    </row>
    <row r="4" spans="2:26" ht="24.75" customHeight="1">
      <c r="B4" s="172"/>
      <c r="C4" s="172"/>
      <c r="D4" s="172"/>
      <c r="E4" s="172"/>
      <c r="F4" s="255" t="s">
        <v>403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2:26" ht="24.75" customHeight="1">
      <c r="B5" s="172"/>
      <c r="C5" s="172"/>
      <c r="D5" s="172"/>
      <c r="E5" s="172"/>
      <c r="F5" s="255" t="s">
        <v>402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2:26" ht="24.75" customHeight="1">
      <c r="B6" s="172"/>
      <c r="C6" s="172"/>
      <c r="D6" s="172"/>
      <c r="E6" s="172"/>
      <c r="F6" s="255" t="s">
        <v>400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ht="17.25" thickBot="1">
      <c r="B7" s="89"/>
    </row>
    <row r="8" spans="1:27" ht="22.5" customHeight="1">
      <c r="A8" s="201" t="s">
        <v>71</v>
      </c>
      <c r="B8" s="192" t="s">
        <v>249</v>
      </c>
      <c r="C8" s="208" t="s">
        <v>250</v>
      </c>
      <c r="D8" s="202" t="s">
        <v>251</v>
      </c>
      <c r="E8" s="203"/>
      <c r="F8" s="203"/>
      <c r="G8" s="203"/>
      <c r="H8" s="203"/>
      <c r="I8" s="203"/>
      <c r="J8" s="203"/>
      <c r="K8" s="204"/>
      <c r="L8" s="202" t="s">
        <v>252</v>
      </c>
      <c r="M8" s="203"/>
      <c r="N8" s="203"/>
      <c r="O8" s="203"/>
      <c r="P8" s="203"/>
      <c r="Q8" s="203"/>
      <c r="R8" s="203"/>
      <c r="S8" s="204"/>
      <c r="T8" s="205" t="s">
        <v>253</v>
      </c>
      <c r="U8" s="206"/>
      <c r="V8" s="206"/>
      <c r="W8" s="206"/>
      <c r="X8" s="206"/>
      <c r="Y8" s="206"/>
      <c r="Z8" s="206"/>
      <c r="AA8" s="207"/>
    </row>
    <row r="9" spans="1:27" ht="21.75" customHeight="1">
      <c r="A9" s="201"/>
      <c r="B9" s="192"/>
      <c r="C9" s="208"/>
      <c r="D9" s="191" t="s">
        <v>327</v>
      </c>
      <c r="E9" s="197"/>
      <c r="F9" s="197"/>
      <c r="G9" s="197"/>
      <c r="H9" s="197"/>
      <c r="I9" s="197"/>
      <c r="J9" s="197"/>
      <c r="K9" s="198"/>
      <c r="L9" s="191" t="s">
        <v>327</v>
      </c>
      <c r="M9" s="197"/>
      <c r="N9" s="197"/>
      <c r="O9" s="197"/>
      <c r="P9" s="197"/>
      <c r="Q9" s="197"/>
      <c r="R9" s="197"/>
      <c r="S9" s="198"/>
      <c r="T9" s="191" t="s">
        <v>327</v>
      </c>
      <c r="U9" s="197"/>
      <c r="V9" s="197"/>
      <c r="W9" s="197"/>
      <c r="X9" s="197"/>
      <c r="Y9" s="197"/>
      <c r="Z9" s="197"/>
      <c r="AA9" s="198"/>
    </row>
    <row r="10" spans="1:27" ht="23.25" customHeight="1">
      <c r="A10" s="201"/>
      <c r="B10" s="192"/>
      <c r="C10" s="208"/>
      <c r="D10" s="191" t="s">
        <v>236</v>
      </c>
      <c r="E10" s="192" t="s">
        <v>335</v>
      </c>
      <c r="F10" s="192"/>
      <c r="G10" s="192"/>
      <c r="H10" s="192"/>
      <c r="I10" s="192"/>
      <c r="J10" s="192"/>
      <c r="K10" s="193"/>
      <c r="L10" s="191" t="s">
        <v>236</v>
      </c>
      <c r="M10" s="192" t="s">
        <v>335</v>
      </c>
      <c r="N10" s="192"/>
      <c r="O10" s="192"/>
      <c r="P10" s="192"/>
      <c r="Q10" s="192"/>
      <c r="R10" s="192"/>
      <c r="S10" s="193"/>
      <c r="T10" s="191" t="s">
        <v>236</v>
      </c>
      <c r="U10" s="192" t="s">
        <v>335</v>
      </c>
      <c r="V10" s="192"/>
      <c r="W10" s="192"/>
      <c r="X10" s="192"/>
      <c r="Y10" s="192"/>
      <c r="Z10" s="192"/>
      <c r="AA10" s="193"/>
    </row>
    <row r="11" spans="1:27" ht="24" customHeight="1">
      <c r="A11" s="201"/>
      <c r="B11" s="192"/>
      <c r="C11" s="208"/>
      <c r="D11" s="191"/>
      <c r="E11" s="197" t="s">
        <v>328</v>
      </c>
      <c r="F11" s="197"/>
      <c r="G11" s="197"/>
      <c r="H11" s="197"/>
      <c r="I11" s="197"/>
      <c r="J11" s="197"/>
      <c r="K11" s="194" t="s">
        <v>325</v>
      </c>
      <c r="L11" s="191"/>
      <c r="M11" s="197" t="s">
        <v>328</v>
      </c>
      <c r="N11" s="197"/>
      <c r="O11" s="197"/>
      <c r="P11" s="197"/>
      <c r="Q11" s="197"/>
      <c r="R11" s="197"/>
      <c r="S11" s="194" t="s">
        <v>325</v>
      </c>
      <c r="T11" s="191"/>
      <c r="U11" s="197" t="s">
        <v>328</v>
      </c>
      <c r="V11" s="197"/>
      <c r="W11" s="197"/>
      <c r="X11" s="197"/>
      <c r="Y11" s="197"/>
      <c r="Z11" s="197"/>
      <c r="AA11" s="194" t="s">
        <v>325</v>
      </c>
    </row>
    <row r="12" spans="1:27" ht="17.25" customHeight="1">
      <c r="A12" s="201"/>
      <c r="B12" s="192"/>
      <c r="C12" s="208"/>
      <c r="D12" s="191"/>
      <c r="E12" s="192" t="s">
        <v>329</v>
      </c>
      <c r="F12" s="192" t="s">
        <v>335</v>
      </c>
      <c r="G12" s="192"/>
      <c r="H12" s="192"/>
      <c r="I12" s="192"/>
      <c r="J12" s="192"/>
      <c r="K12" s="195"/>
      <c r="L12" s="191"/>
      <c r="M12" s="192" t="s">
        <v>329</v>
      </c>
      <c r="N12" s="192" t="s">
        <v>335</v>
      </c>
      <c r="O12" s="192"/>
      <c r="P12" s="192"/>
      <c r="Q12" s="192"/>
      <c r="R12" s="192"/>
      <c r="S12" s="195"/>
      <c r="T12" s="191"/>
      <c r="U12" s="192" t="s">
        <v>329</v>
      </c>
      <c r="V12" s="192" t="s">
        <v>335</v>
      </c>
      <c r="W12" s="192"/>
      <c r="X12" s="192"/>
      <c r="Y12" s="192"/>
      <c r="Z12" s="192"/>
      <c r="AA12" s="195"/>
    </row>
    <row r="13" spans="1:27" ht="22.5" customHeight="1">
      <c r="A13" s="201"/>
      <c r="B13" s="192"/>
      <c r="C13" s="208"/>
      <c r="D13" s="191"/>
      <c r="E13" s="192"/>
      <c r="F13" s="133">
        <v>2012</v>
      </c>
      <c r="G13" s="133">
        <v>2013</v>
      </c>
      <c r="H13" s="133">
        <v>2014</v>
      </c>
      <c r="I13" s="133">
        <v>2015</v>
      </c>
      <c r="J13" s="133">
        <v>2016</v>
      </c>
      <c r="K13" s="196"/>
      <c r="L13" s="191"/>
      <c r="M13" s="192"/>
      <c r="N13" s="133">
        <v>2012</v>
      </c>
      <c r="O13" s="133">
        <v>2013</v>
      </c>
      <c r="P13" s="133">
        <v>2014</v>
      </c>
      <c r="Q13" s="133">
        <v>2015</v>
      </c>
      <c r="R13" s="133">
        <v>2016</v>
      </c>
      <c r="S13" s="196"/>
      <c r="T13" s="191"/>
      <c r="U13" s="192"/>
      <c r="V13" s="133">
        <v>2012</v>
      </c>
      <c r="W13" s="133">
        <v>2013</v>
      </c>
      <c r="X13" s="133">
        <v>2014</v>
      </c>
      <c r="Y13" s="133">
        <v>2015</v>
      </c>
      <c r="Z13" s="133">
        <v>2016</v>
      </c>
      <c r="AA13" s="196"/>
    </row>
    <row r="14" spans="1:27" ht="16.5">
      <c r="A14" s="199">
        <v>1</v>
      </c>
      <c r="B14" s="197" t="s">
        <v>254</v>
      </c>
      <c r="C14" s="90" t="s">
        <v>255</v>
      </c>
      <c r="D14" s="77">
        <f aca="true" t="shared" si="0" ref="D14:D38">E14+K14</f>
        <v>45170.1</v>
      </c>
      <c r="E14" s="53">
        <f>E15+E16+E17+E18</f>
        <v>45170.1</v>
      </c>
      <c r="F14" s="53">
        <f aca="true" t="shared" si="1" ref="F14:K14">F15+F16+F17+F18</f>
        <v>38250.9</v>
      </c>
      <c r="G14" s="53">
        <f t="shared" si="1"/>
        <v>6919.2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80">
        <f t="shared" si="1"/>
        <v>0</v>
      </c>
      <c r="L14" s="77">
        <f aca="true" t="shared" si="2" ref="L14:L38">M14+S14</f>
        <v>360000</v>
      </c>
      <c r="M14" s="53">
        <f aca="true" t="shared" si="3" ref="M14:S14">M15+M16+M17+M18</f>
        <v>240000</v>
      </c>
      <c r="N14" s="53">
        <f t="shared" si="3"/>
        <v>75000</v>
      </c>
      <c r="O14" s="53">
        <f t="shared" si="3"/>
        <v>60000</v>
      </c>
      <c r="P14" s="53">
        <f t="shared" si="3"/>
        <v>45000</v>
      </c>
      <c r="Q14" s="53">
        <f t="shared" si="3"/>
        <v>30000</v>
      </c>
      <c r="R14" s="53">
        <f t="shared" si="3"/>
        <v>30000</v>
      </c>
      <c r="S14" s="80">
        <f t="shared" si="3"/>
        <v>120000</v>
      </c>
      <c r="T14" s="77">
        <f>U14+AA14</f>
        <v>314829.9</v>
      </c>
      <c r="U14" s="53">
        <f>V14+W14+X14+Y14+Z14</f>
        <v>194829.9</v>
      </c>
      <c r="V14" s="53">
        <f aca="true" t="shared" si="4" ref="V14:AA14">V15+V16+V17+V18</f>
        <v>36749.1</v>
      </c>
      <c r="W14" s="53">
        <f t="shared" si="4"/>
        <v>53080.8</v>
      </c>
      <c r="X14" s="53">
        <f t="shared" si="4"/>
        <v>45000</v>
      </c>
      <c r="Y14" s="53">
        <f t="shared" si="4"/>
        <v>30000</v>
      </c>
      <c r="Z14" s="53">
        <f t="shared" si="4"/>
        <v>30000</v>
      </c>
      <c r="AA14" s="80">
        <f t="shared" si="4"/>
        <v>120000</v>
      </c>
    </row>
    <row r="15" spans="1:27" ht="16.5">
      <c r="A15" s="200"/>
      <c r="B15" s="197"/>
      <c r="C15" s="82" t="s">
        <v>256</v>
      </c>
      <c r="D15" s="77">
        <f t="shared" si="0"/>
        <v>0</v>
      </c>
      <c r="E15" s="53">
        <f>F15+G15+H15+I15+J15</f>
        <v>0</v>
      </c>
      <c r="F15" s="53">
        <f>'Приложение №5'!D17</f>
        <v>0</v>
      </c>
      <c r="G15" s="53">
        <f>'Приложение №5'!D18</f>
        <v>0</v>
      </c>
      <c r="H15" s="53">
        <f>'Приложение №5'!D19</f>
        <v>0</v>
      </c>
      <c r="I15" s="53">
        <f>'Приложение №5'!D20</f>
        <v>0</v>
      </c>
      <c r="J15" s="53">
        <f>'Приложение №5'!D21</f>
        <v>0</v>
      </c>
      <c r="K15" s="80">
        <f>'Приложение №5'!D22</f>
        <v>0</v>
      </c>
      <c r="L15" s="77">
        <f t="shared" si="2"/>
        <v>0</v>
      </c>
      <c r="M15" s="53">
        <v>0</v>
      </c>
      <c r="N15" s="53">
        <f>'Приложение №6'!D17</f>
        <v>0</v>
      </c>
      <c r="O15" s="53">
        <f>'Приложение №6'!K18</f>
        <v>0</v>
      </c>
      <c r="P15" s="53">
        <f>'Приложение №6'!K19</f>
        <v>0</v>
      </c>
      <c r="Q15" s="53">
        <f>'Приложение №6'!K20</f>
        <v>0</v>
      </c>
      <c r="R15" s="53">
        <f>'Приложение №6'!K21</f>
        <v>0</v>
      </c>
      <c r="S15" s="80">
        <v>0</v>
      </c>
      <c r="T15" s="77">
        <f>L15-D15</f>
        <v>0</v>
      </c>
      <c r="U15" s="53">
        <f>SUM(V15:Z15)</f>
        <v>0</v>
      </c>
      <c r="V15" s="53">
        <f aca="true" t="shared" si="5" ref="V15:AA15">N15-F15</f>
        <v>0</v>
      </c>
      <c r="W15" s="53">
        <f t="shared" si="5"/>
        <v>0</v>
      </c>
      <c r="X15" s="53">
        <f t="shared" si="5"/>
        <v>0</v>
      </c>
      <c r="Y15" s="53">
        <f t="shared" si="5"/>
        <v>0</v>
      </c>
      <c r="Z15" s="53">
        <f t="shared" si="5"/>
        <v>0</v>
      </c>
      <c r="AA15" s="80">
        <f t="shared" si="5"/>
        <v>0</v>
      </c>
    </row>
    <row r="16" spans="1:27" ht="33">
      <c r="A16" s="200"/>
      <c r="B16" s="197"/>
      <c r="C16" s="82" t="s">
        <v>257</v>
      </c>
      <c r="D16" s="77">
        <f t="shared" si="0"/>
        <v>45170.1</v>
      </c>
      <c r="E16" s="53">
        <f>SUM(F16:J16)</f>
        <v>45170.1</v>
      </c>
      <c r="F16" s="53">
        <f>'Приложение №5'!E17</f>
        <v>38250.9</v>
      </c>
      <c r="G16" s="53">
        <f>'Приложение №5'!E18</f>
        <v>6919.2</v>
      </c>
      <c r="H16" s="53">
        <f>'Приложение №5'!E19</f>
        <v>0</v>
      </c>
      <c r="I16" s="53">
        <f>'Приложение №5'!E20</f>
        <v>0</v>
      </c>
      <c r="J16" s="53">
        <f>'Приложение №5'!E21</f>
        <v>0</v>
      </c>
      <c r="K16" s="80">
        <f>'Приложение №5'!E30</f>
        <v>0</v>
      </c>
      <c r="L16" s="77">
        <f t="shared" si="2"/>
        <v>360000</v>
      </c>
      <c r="M16" s="53">
        <f>SUM(N16:R16)</f>
        <v>240000</v>
      </c>
      <c r="N16" s="53">
        <f>'Приложение №6'!E17</f>
        <v>75000</v>
      </c>
      <c r="O16" s="53">
        <f>'Приложение №6'!E18</f>
        <v>60000</v>
      </c>
      <c r="P16" s="53">
        <f>'Приложение №6'!E19</f>
        <v>45000</v>
      </c>
      <c r="Q16" s="53">
        <f>'Приложение №6'!E20</f>
        <v>30000</v>
      </c>
      <c r="R16" s="53">
        <f>'Приложение №6'!E21</f>
        <v>30000</v>
      </c>
      <c r="S16" s="80">
        <v>120000</v>
      </c>
      <c r="T16" s="77">
        <f>L16-D16</f>
        <v>314829.9</v>
      </c>
      <c r="U16" s="53">
        <f>SUM(V16:Z16)</f>
        <v>194829.9</v>
      </c>
      <c r="V16" s="53">
        <f aca="true" t="shared" si="6" ref="V16:AA16">N16-F16</f>
        <v>36749.1</v>
      </c>
      <c r="W16" s="53">
        <f t="shared" si="6"/>
        <v>53080.8</v>
      </c>
      <c r="X16" s="53">
        <f t="shared" si="6"/>
        <v>45000</v>
      </c>
      <c r="Y16" s="53">
        <f t="shared" si="6"/>
        <v>30000</v>
      </c>
      <c r="Z16" s="53">
        <f t="shared" si="6"/>
        <v>30000</v>
      </c>
      <c r="AA16" s="80">
        <f t="shared" si="6"/>
        <v>120000</v>
      </c>
    </row>
    <row r="17" spans="1:27" ht="16.5">
      <c r="A17" s="200"/>
      <c r="B17" s="197"/>
      <c r="C17" s="82" t="s">
        <v>355</v>
      </c>
      <c r="D17" s="77">
        <f t="shared" si="0"/>
        <v>0</v>
      </c>
      <c r="E17" s="53">
        <v>0</v>
      </c>
      <c r="F17" s="53">
        <f>'Приложение №5'!I17</f>
        <v>0</v>
      </c>
      <c r="G17" s="53">
        <f>'Приложение №5'!I18</f>
        <v>0</v>
      </c>
      <c r="H17" s="53">
        <f>'Приложение №5'!I19</f>
        <v>0</v>
      </c>
      <c r="I17" s="53">
        <f>'Приложение №5'!I20</f>
        <v>0</v>
      </c>
      <c r="J17" s="53">
        <f>'Приложение №5'!I21</f>
        <v>0</v>
      </c>
      <c r="K17" s="80">
        <f>'Приложение №5'!I22</f>
        <v>0</v>
      </c>
      <c r="L17" s="77">
        <f t="shared" si="2"/>
        <v>0</v>
      </c>
      <c r="M17" s="53">
        <v>0</v>
      </c>
      <c r="N17" s="53">
        <f>'Приложение №6'!I17</f>
        <v>0</v>
      </c>
      <c r="O17" s="53">
        <f>'Приложение №6'!I18</f>
        <v>0</v>
      </c>
      <c r="P17" s="53">
        <f>'Приложение №6'!I19</f>
        <v>0</v>
      </c>
      <c r="Q17" s="53">
        <f>'Приложение №6'!I20</f>
        <v>0</v>
      </c>
      <c r="R17" s="53">
        <f>'Приложение №6'!I21</f>
        <v>0</v>
      </c>
      <c r="S17" s="80">
        <v>0</v>
      </c>
      <c r="T17" s="77">
        <f>L17-D17</f>
        <v>0</v>
      </c>
      <c r="U17" s="53">
        <f>SUM(V17:Z17)</f>
        <v>0</v>
      </c>
      <c r="V17" s="53">
        <f aca="true" t="shared" si="7" ref="V17:AA18">N17-F17</f>
        <v>0</v>
      </c>
      <c r="W17" s="53">
        <f t="shared" si="7"/>
        <v>0</v>
      </c>
      <c r="X17" s="53">
        <f t="shared" si="7"/>
        <v>0</v>
      </c>
      <c r="Y17" s="53">
        <f t="shared" si="7"/>
        <v>0</v>
      </c>
      <c r="Z17" s="53">
        <f t="shared" si="7"/>
        <v>0</v>
      </c>
      <c r="AA17" s="80">
        <f t="shared" si="7"/>
        <v>0</v>
      </c>
    </row>
    <row r="18" spans="1:27" ht="33">
      <c r="A18" s="200"/>
      <c r="B18" s="197"/>
      <c r="C18" s="82" t="s">
        <v>353</v>
      </c>
      <c r="D18" s="77">
        <f t="shared" si="0"/>
        <v>0</v>
      </c>
      <c r="E18" s="53">
        <v>0</v>
      </c>
      <c r="F18" s="53">
        <f>'Приложение №5'!J17</f>
        <v>0</v>
      </c>
      <c r="G18" s="53">
        <f>'Приложение №5'!I18</f>
        <v>0</v>
      </c>
      <c r="H18" s="53">
        <f>'Приложение №5'!I19</f>
        <v>0</v>
      </c>
      <c r="I18" s="53">
        <f>'Приложение №5'!I20</f>
        <v>0</v>
      </c>
      <c r="J18" s="53">
        <f>'Приложение №5'!I21</f>
        <v>0</v>
      </c>
      <c r="K18" s="80">
        <f>'Приложение №5'!I22</f>
        <v>0</v>
      </c>
      <c r="L18" s="77">
        <f t="shared" si="2"/>
        <v>0</v>
      </c>
      <c r="M18" s="53">
        <v>0</v>
      </c>
      <c r="N18" s="53">
        <f>'Приложение №6'!Q17</f>
        <v>0</v>
      </c>
      <c r="O18" s="53">
        <f>'Приложение №5'!Q18</f>
        <v>0</v>
      </c>
      <c r="P18" s="53">
        <f>'Приложение №5'!Q19</f>
        <v>0</v>
      </c>
      <c r="Q18" s="53">
        <f>'Приложение №5'!Q20</f>
        <v>0</v>
      </c>
      <c r="R18" s="53">
        <f>'Приложение №5'!Q21</f>
        <v>0</v>
      </c>
      <c r="S18" s="80">
        <v>0</v>
      </c>
      <c r="T18" s="77">
        <f>L18-D18</f>
        <v>0</v>
      </c>
      <c r="U18" s="53">
        <f>SUM(V18:Z18)</f>
        <v>0</v>
      </c>
      <c r="V18" s="53">
        <f t="shared" si="7"/>
        <v>0</v>
      </c>
      <c r="W18" s="53">
        <f t="shared" si="7"/>
        <v>0</v>
      </c>
      <c r="X18" s="53">
        <f t="shared" si="7"/>
        <v>0</v>
      </c>
      <c r="Y18" s="53">
        <f t="shared" si="7"/>
        <v>0</v>
      </c>
      <c r="Z18" s="53">
        <f t="shared" si="7"/>
        <v>0</v>
      </c>
      <c r="AA18" s="80">
        <f t="shared" si="7"/>
        <v>0</v>
      </c>
    </row>
    <row r="19" spans="1:27" ht="16.5">
      <c r="A19" s="199">
        <v>2</v>
      </c>
      <c r="B19" s="197" t="s">
        <v>258</v>
      </c>
      <c r="C19" s="82" t="s">
        <v>255</v>
      </c>
      <c r="D19" s="77">
        <f t="shared" si="0"/>
        <v>6382877.6</v>
      </c>
      <c r="E19" s="53">
        <f>E20+E21+E22+E23</f>
        <v>3792277.6</v>
      </c>
      <c r="F19" s="53">
        <v>777972.4</v>
      </c>
      <c r="G19" s="53">
        <f>G20+G21+G22+G23</f>
        <v>822576.8</v>
      </c>
      <c r="H19" s="53">
        <f>H20+H21+H22+H23</f>
        <v>783425.7</v>
      </c>
      <c r="I19" s="53">
        <f>I20+I21+I22+I23</f>
        <v>686186.5</v>
      </c>
      <c r="J19" s="53">
        <f>J20+J21+J22+J23</f>
        <v>696966.6</v>
      </c>
      <c r="K19" s="80">
        <f>K20+K21+K22+K23</f>
        <v>2590600</v>
      </c>
      <c r="L19" s="77">
        <f t="shared" si="2"/>
        <v>6569790.8</v>
      </c>
      <c r="M19" s="53">
        <f aca="true" t="shared" si="8" ref="M19:S19">M20+M21+M22+M23</f>
        <v>3969090.8</v>
      </c>
      <c r="N19" s="53">
        <f t="shared" si="8"/>
        <v>870080.2</v>
      </c>
      <c r="O19" s="53">
        <f t="shared" si="8"/>
        <v>889729.2</v>
      </c>
      <c r="P19" s="53">
        <f t="shared" si="8"/>
        <v>820800</v>
      </c>
      <c r="Q19" s="53">
        <f t="shared" si="8"/>
        <v>688759.6</v>
      </c>
      <c r="R19" s="53">
        <f t="shared" si="8"/>
        <v>699721.8</v>
      </c>
      <c r="S19" s="80">
        <f t="shared" si="8"/>
        <v>2600700</v>
      </c>
      <c r="T19" s="77">
        <f>U19+AA19</f>
        <v>186913.19999999998</v>
      </c>
      <c r="U19" s="53">
        <f>V19+W19+X19+Y19+Z19</f>
        <v>176813.19999999998</v>
      </c>
      <c r="V19" s="53">
        <f aca="true" t="shared" si="9" ref="V19:AA19">V20+V21+V22+V23</f>
        <v>66958.2</v>
      </c>
      <c r="W19" s="53">
        <f t="shared" si="9"/>
        <v>67152.4</v>
      </c>
      <c r="X19" s="53">
        <f t="shared" si="9"/>
        <v>37374.299999999996</v>
      </c>
      <c r="Y19" s="53">
        <f t="shared" si="9"/>
        <v>2573.1000000000004</v>
      </c>
      <c r="Z19" s="53">
        <f t="shared" si="9"/>
        <v>2755.2</v>
      </c>
      <c r="AA19" s="80">
        <f t="shared" si="9"/>
        <v>10100</v>
      </c>
    </row>
    <row r="20" spans="1:27" ht="16.5">
      <c r="A20" s="200"/>
      <c r="B20" s="197"/>
      <c r="C20" s="82" t="s">
        <v>256</v>
      </c>
      <c r="D20" s="77">
        <f t="shared" si="0"/>
        <v>14177.6</v>
      </c>
      <c r="E20" s="53">
        <f>SUM(F20:J20)</f>
        <v>8177.6</v>
      </c>
      <c r="F20" s="53">
        <f>'Приложение №5'!D33</f>
        <v>1322</v>
      </c>
      <c r="G20" s="53">
        <f>'Приложение №5'!D34</f>
        <v>1476.8</v>
      </c>
      <c r="H20" s="53">
        <f>'Приложение №5'!D35</f>
        <v>1625.7</v>
      </c>
      <c r="I20" s="53">
        <f>'Приложение №5'!D36</f>
        <v>1786.5</v>
      </c>
      <c r="J20" s="53">
        <f>'Приложение №5'!D37</f>
        <v>1966.6</v>
      </c>
      <c r="K20" s="80">
        <f>'Приложение №5'!D38</f>
        <v>6000</v>
      </c>
      <c r="L20" s="77">
        <f t="shared" si="2"/>
        <v>27929.699999999997</v>
      </c>
      <c r="M20" s="53">
        <f>SUM(N20:R20)</f>
        <v>15429.699999999999</v>
      </c>
      <c r="N20" s="53">
        <v>2494.4</v>
      </c>
      <c r="O20" s="53">
        <v>2786.5</v>
      </c>
      <c r="P20" s="53">
        <v>3067.4</v>
      </c>
      <c r="Q20" s="53">
        <v>3370.8</v>
      </c>
      <c r="R20" s="53">
        <v>3710.6</v>
      </c>
      <c r="S20" s="80">
        <v>12500</v>
      </c>
      <c r="T20" s="77">
        <f>L20-D20</f>
        <v>13752.099999999997</v>
      </c>
      <c r="U20" s="53">
        <f>SUM(V20:Z20)</f>
        <v>7252.1</v>
      </c>
      <c r="V20" s="53">
        <f aca="true" t="shared" si="10" ref="V20:AA20">N20-F20</f>
        <v>1172.4</v>
      </c>
      <c r="W20" s="53">
        <f t="shared" si="10"/>
        <v>1309.7</v>
      </c>
      <c r="X20" s="53">
        <f t="shared" si="10"/>
        <v>1441.7</v>
      </c>
      <c r="Y20" s="53">
        <f t="shared" si="10"/>
        <v>1584.3000000000002</v>
      </c>
      <c r="Z20" s="53">
        <f t="shared" si="10"/>
        <v>1744</v>
      </c>
      <c r="AA20" s="80">
        <f t="shared" si="10"/>
        <v>6500</v>
      </c>
    </row>
    <row r="21" spans="1:27" ht="33">
      <c r="A21" s="200"/>
      <c r="B21" s="197"/>
      <c r="C21" s="82" t="s">
        <v>257</v>
      </c>
      <c r="D21" s="77">
        <f t="shared" si="0"/>
        <v>0</v>
      </c>
      <c r="E21" s="53">
        <f>SUM(F21:J21)</f>
        <v>0</v>
      </c>
      <c r="F21" s="53">
        <f>'Приложение №5'!E33</f>
        <v>0</v>
      </c>
      <c r="G21" s="53">
        <f>'Приложение №5'!E34</f>
        <v>0</v>
      </c>
      <c r="H21" s="53">
        <f>'Приложение №5'!E35</f>
        <v>0</v>
      </c>
      <c r="I21" s="53">
        <f>'Приложение №5'!E36</f>
        <v>0</v>
      </c>
      <c r="J21" s="53">
        <f>'Приложение №5'!E37</f>
        <v>0</v>
      </c>
      <c r="K21" s="80">
        <f>'Приложение №5'!E38</f>
        <v>0</v>
      </c>
      <c r="L21" s="77">
        <f t="shared" si="2"/>
        <v>173161.1</v>
      </c>
      <c r="M21" s="53">
        <f>SUM(N21:R21)</f>
        <v>169561.1</v>
      </c>
      <c r="N21" s="53">
        <f>'Приложение №6'!E39</f>
        <v>65785.8</v>
      </c>
      <c r="O21" s="53">
        <f>'Приложение №6'!E40</f>
        <v>65842.7</v>
      </c>
      <c r="P21" s="53">
        <f>'Приложение №6'!E41</f>
        <v>35932.6</v>
      </c>
      <c r="Q21" s="53">
        <f>'Приложение №6'!E42</f>
        <v>988.8</v>
      </c>
      <c r="R21" s="53">
        <v>1011.2</v>
      </c>
      <c r="S21" s="80">
        <v>3600</v>
      </c>
      <c r="T21" s="77">
        <f>L21-D21</f>
        <v>173161.1</v>
      </c>
      <c r="U21" s="53">
        <f>SUM(V21:Z21)</f>
        <v>169561.1</v>
      </c>
      <c r="V21" s="53">
        <f aca="true" t="shared" si="11" ref="V21:AA21">N21-F21</f>
        <v>65785.8</v>
      </c>
      <c r="W21" s="53">
        <f t="shared" si="11"/>
        <v>65842.7</v>
      </c>
      <c r="X21" s="53">
        <f t="shared" si="11"/>
        <v>35932.6</v>
      </c>
      <c r="Y21" s="53">
        <f t="shared" si="11"/>
        <v>988.8</v>
      </c>
      <c r="Z21" s="53">
        <f t="shared" si="11"/>
        <v>1011.2</v>
      </c>
      <c r="AA21" s="80">
        <f t="shared" si="11"/>
        <v>3600</v>
      </c>
    </row>
    <row r="22" spans="1:27" ht="16.5">
      <c r="A22" s="200"/>
      <c r="B22" s="197"/>
      <c r="C22" s="82" t="s">
        <v>355</v>
      </c>
      <c r="D22" s="77">
        <f t="shared" si="0"/>
        <v>0</v>
      </c>
      <c r="E22" s="53">
        <v>0</v>
      </c>
      <c r="F22" s="53">
        <f>'Приложение №5'!I33</f>
        <v>0</v>
      </c>
      <c r="G22" s="53">
        <f>'Приложение №5'!I34</f>
        <v>0</v>
      </c>
      <c r="H22" s="53">
        <f>'Приложение №5'!I35</f>
        <v>0</v>
      </c>
      <c r="I22" s="53">
        <f>'Приложение №5'!I36</f>
        <v>0</v>
      </c>
      <c r="J22" s="53">
        <f>'Приложение №5'!I37</f>
        <v>0</v>
      </c>
      <c r="K22" s="80">
        <f>'Приложение №5'!I38</f>
        <v>0</v>
      </c>
      <c r="L22" s="77">
        <f t="shared" si="2"/>
        <v>0</v>
      </c>
      <c r="M22" s="53">
        <f>SUM(N22:R22)</f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80">
        <v>0</v>
      </c>
      <c r="T22" s="77">
        <f>L22-D22</f>
        <v>0</v>
      </c>
      <c r="U22" s="53">
        <f>SUM(V22:Z22)</f>
        <v>0</v>
      </c>
      <c r="V22" s="53">
        <f aca="true" t="shared" si="12" ref="V22:AA23">N22-F22</f>
        <v>0</v>
      </c>
      <c r="W22" s="53">
        <f t="shared" si="12"/>
        <v>0</v>
      </c>
      <c r="X22" s="53">
        <f t="shared" si="12"/>
        <v>0</v>
      </c>
      <c r="Y22" s="53">
        <f t="shared" si="12"/>
        <v>0</v>
      </c>
      <c r="Z22" s="53">
        <f t="shared" si="12"/>
        <v>0</v>
      </c>
      <c r="AA22" s="80">
        <f t="shared" si="12"/>
        <v>0</v>
      </c>
    </row>
    <row r="23" spans="1:27" ht="33">
      <c r="A23" s="200"/>
      <c r="B23" s="197"/>
      <c r="C23" s="82" t="s">
        <v>354</v>
      </c>
      <c r="D23" s="77">
        <f t="shared" si="0"/>
        <v>6368700</v>
      </c>
      <c r="E23" s="53">
        <f>SUM(F23:J23)</f>
        <v>3784100</v>
      </c>
      <c r="F23" s="53">
        <f>'Приложение №5'!J33</f>
        <v>801800</v>
      </c>
      <c r="G23" s="53">
        <f>'Приложение №5'!J34</f>
        <v>821100</v>
      </c>
      <c r="H23" s="53">
        <f>'Приложение №5'!J35</f>
        <v>781800</v>
      </c>
      <c r="I23" s="53">
        <f>'Приложение №5'!J36</f>
        <v>684400</v>
      </c>
      <c r="J23" s="53">
        <f>'Приложение №5'!J37</f>
        <v>695000</v>
      </c>
      <c r="K23" s="80">
        <f>'Приложение №5'!J38</f>
        <v>2584600</v>
      </c>
      <c r="L23" s="77">
        <f t="shared" si="2"/>
        <v>6368700</v>
      </c>
      <c r="M23" s="53">
        <f>SUM(N23:R23)</f>
        <v>3784100</v>
      </c>
      <c r="N23" s="53">
        <v>801800</v>
      </c>
      <c r="O23" s="53">
        <v>821100</v>
      </c>
      <c r="P23" s="53">
        <v>781800</v>
      </c>
      <c r="Q23" s="53">
        <v>684400</v>
      </c>
      <c r="R23" s="53">
        <v>695000</v>
      </c>
      <c r="S23" s="80">
        <v>2584600</v>
      </c>
      <c r="T23" s="77">
        <f>L23-D23</f>
        <v>0</v>
      </c>
      <c r="U23" s="53">
        <f>SUM(V23:Z23)</f>
        <v>0</v>
      </c>
      <c r="V23" s="53">
        <f t="shared" si="12"/>
        <v>0</v>
      </c>
      <c r="W23" s="53">
        <f t="shared" si="12"/>
        <v>0</v>
      </c>
      <c r="X23" s="53">
        <f t="shared" si="12"/>
        <v>0</v>
      </c>
      <c r="Y23" s="53">
        <f t="shared" si="12"/>
        <v>0</v>
      </c>
      <c r="Z23" s="53">
        <f t="shared" si="12"/>
        <v>0</v>
      </c>
      <c r="AA23" s="80">
        <f t="shared" si="12"/>
        <v>0</v>
      </c>
    </row>
    <row r="24" spans="1:27" ht="16.5">
      <c r="A24" s="199">
        <v>3</v>
      </c>
      <c r="B24" s="197" t="s">
        <v>259</v>
      </c>
      <c r="C24" s="82" t="s">
        <v>255</v>
      </c>
      <c r="D24" s="77">
        <f t="shared" si="0"/>
        <v>40574.6</v>
      </c>
      <c r="E24" s="53">
        <f>E25+E26+E27+E28</f>
        <v>39374.6</v>
      </c>
      <c r="F24" s="53">
        <f aca="true" t="shared" si="13" ref="F24:K24">F25+F26+F27+F28</f>
        <v>5800</v>
      </c>
      <c r="G24" s="53">
        <f t="shared" si="13"/>
        <v>4700</v>
      </c>
      <c r="H24" s="53">
        <f t="shared" si="13"/>
        <v>11047</v>
      </c>
      <c r="I24" s="53">
        <f t="shared" si="13"/>
        <v>8073.3</v>
      </c>
      <c r="J24" s="53">
        <f t="shared" si="13"/>
        <v>9754.3</v>
      </c>
      <c r="K24" s="80">
        <f t="shared" si="13"/>
        <v>1200</v>
      </c>
      <c r="L24" s="77">
        <f t="shared" si="2"/>
        <v>56058</v>
      </c>
      <c r="M24" s="53">
        <f aca="true" t="shared" si="14" ref="M24:S24">M25+M26+M27+M28</f>
        <v>54858</v>
      </c>
      <c r="N24" s="53">
        <f t="shared" si="14"/>
        <v>5800</v>
      </c>
      <c r="O24" s="53">
        <f t="shared" si="14"/>
        <v>8650</v>
      </c>
      <c r="P24" s="53">
        <f t="shared" si="14"/>
        <v>15808</v>
      </c>
      <c r="Q24" s="53">
        <f t="shared" si="14"/>
        <v>11300</v>
      </c>
      <c r="R24" s="53">
        <f t="shared" si="14"/>
        <v>13300</v>
      </c>
      <c r="S24" s="80">
        <f t="shared" si="14"/>
        <v>1200</v>
      </c>
      <c r="T24" s="77">
        <f>U24+AA24</f>
        <v>15483.400000000001</v>
      </c>
      <c r="U24" s="53">
        <f>V24+W24+X24+Y24+Z24</f>
        <v>15483.400000000001</v>
      </c>
      <c r="V24" s="53">
        <f aca="true" t="shared" si="15" ref="V24:AA24">V25+V26+V27+V28</f>
        <v>0</v>
      </c>
      <c r="W24" s="53">
        <f t="shared" si="15"/>
        <v>3950</v>
      </c>
      <c r="X24" s="53">
        <f t="shared" si="15"/>
        <v>4761</v>
      </c>
      <c r="Y24" s="53">
        <f t="shared" si="15"/>
        <v>3226.7</v>
      </c>
      <c r="Z24" s="53">
        <f t="shared" si="15"/>
        <v>3545.7000000000007</v>
      </c>
      <c r="AA24" s="80">
        <f t="shared" si="15"/>
        <v>0</v>
      </c>
    </row>
    <row r="25" spans="1:27" ht="16.5">
      <c r="A25" s="200"/>
      <c r="B25" s="197"/>
      <c r="C25" s="82" t="s">
        <v>256</v>
      </c>
      <c r="D25" s="77">
        <f t="shared" si="0"/>
        <v>0</v>
      </c>
      <c r="E25" s="53">
        <v>0</v>
      </c>
      <c r="F25" s="53">
        <f>'Приложение №5'!D248</f>
        <v>0</v>
      </c>
      <c r="G25" s="53">
        <f>'Приложение №5'!D249</f>
        <v>0</v>
      </c>
      <c r="H25" s="53">
        <f>'Приложение №5'!D250</f>
        <v>0</v>
      </c>
      <c r="I25" s="53">
        <f>'Приложение №5'!D251</f>
        <v>0</v>
      </c>
      <c r="J25" s="53">
        <f>'Приложение №5'!D252</f>
        <v>0</v>
      </c>
      <c r="K25" s="80">
        <f>'Приложение №5'!D253</f>
        <v>0</v>
      </c>
      <c r="L25" s="77">
        <f t="shared" si="2"/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80">
        <v>0</v>
      </c>
      <c r="T25" s="77">
        <f>L25-D25</f>
        <v>0</v>
      </c>
      <c r="U25" s="53">
        <f>SUM(V25:Z25)</f>
        <v>0</v>
      </c>
      <c r="V25" s="53">
        <f aca="true" t="shared" si="16" ref="V25:AA25">N25-F25</f>
        <v>0</v>
      </c>
      <c r="W25" s="53">
        <f t="shared" si="16"/>
        <v>0</v>
      </c>
      <c r="X25" s="53">
        <f t="shared" si="16"/>
        <v>0</v>
      </c>
      <c r="Y25" s="53">
        <f t="shared" si="16"/>
        <v>0</v>
      </c>
      <c r="Z25" s="53">
        <f t="shared" si="16"/>
        <v>0</v>
      </c>
      <c r="AA25" s="80">
        <f t="shared" si="16"/>
        <v>0</v>
      </c>
    </row>
    <row r="26" spans="1:27" ht="33">
      <c r="A26" s="200"/>
      <c r="B26" s="197"/>
      <c r="C26" s="82" t="s">
        <v>257</v>
      </c>
      <c r="D26" s="77">
        <f t="shared" si="0"/>
        <v>37874.6</v>
      </c>
      <c r="E26" s="53">
        <f>SUM(F26:J26)</f>
        <v>37874.6</v>
      </c>
      <c r="F26" s="53">
        <f>'Приложение №5'!E233</f>
        <v>5500</v>
      </c>
      <c r="G26" s="53">
        <f>'Приложение №5'!E234</f>
        <v>4400</v>
      </c>
      <c r="H26" s="53">
        <f>'Приложение №5'!E235</f>
        <v>10747</v>
      </c>
      <c r="I26" s="53">
        <f>'Приложение №5'!E236</f>
        <v>7773.3</v>
      </c>
      <c r="J26" s="53">
        <f>'Приложение №5'!E237</f>
        <v>9454.3</v>
      </c>
      <c r="K26" s="80">
        <f>'Приложение №5'!E238</f>
        <v>0</v>
      </c>
      <c r="L26" s="77">
        <f t="shared" si="2"/>
        <v>53358</v>
      </c>
      <c r="M26" s="53">
        <f>SUM(N26:R26)</f>
        <v>53358</v>
      </c>
      <c r="N26" s="53">
        <f>'Приложение №6'!E239</f>
        <v>5500</v>
      </c>
      <c r="O26" s="53">
        <f>'Приложение №6'!E240</f>
        <v>8350</v>
      </c>
      <c r="P26" s="53">
        <f>'Приложение №6'!E241</f>
        <v>15508</v>
      </c>
      <c r="Q26" s="53">
        <f>'Приложение №6'!E242</f>
        <v>11000</v>
      </c>
      <c r="R26" s="53">
        <f>'Приложение №6'!E243</f>
        <v>13000</v>
      </c>
      <c r="S26" s="80">
        <v>0</v>
      </c>
      <c r="T26" s="77">
        <f>L26-D26</f>
        <v>15483.400000000001</v>
      </c>
      <c r="U26" s="53">
        <f>SUM(V26:Z26)</f>
        <v>15483.400000000001</v>
      </c>
      <c r="V26" s="53">
        <f aca="true" t="shared" si="17" ref="V26:AA26">N26-F26</f>
        <v>0</v>
      </c>
      <c r="W26" s="53">
        <f t="shared" si="17"/>
        <v>3950</v>
      </c>
      <c r="X26" s="53">
        <f t="shared" si="17"/>
        <v>4761</v>
      </c>
      <c r="Y26" s="53">
        <f t="shared" si="17"/>
        <v>3226.7</v>
      </c>
      <c r="Z26" s="53">
        <f t="shared" si="17"/>
        <v>3545.7000000000007</v>
      </c>
      <c r="AA26" s="80">
        <f t="shared" si="17"/>
        <v>0</v>
      </c>
    </row>
    <row r="27" spans="1:27" ht="16.5">
      <c r="A27" s="200"/>
      <c r="B27" s="197"/>
      <c r="C27" s="82" t="s">
        <v>355</v>
      </c>
      <c r="D27" s="77">
        <f t="shared" si="0"/>
        <v>0</v>
      </c>
      <c r="E27" s="53">
        <f>SUM(F27:J27)</f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80">
        <v>0</v>
      </c>
      <c r="L27" s="77">
        <f t="shared" si="2"/>
        <v>0</v>
      </c>
      <c r="M27" s="53">
        <f>SUM(N27:R27)</f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80">
        <v>0</v>
      </c>
      <c r="T27" s="77">
        <f>L27-D27</f>
        <v>0</v>
      </c>
      <c r="U27" s="53">
        <f>SUM(V27:Z27)</f>
        <v>0</v>
      </c>
      <c r="V27" s="53">
        <f aca="true" t="shared" si="18" ref="V27:AA28">N27-F27</f>
        <v>0</v>
      </c>
      <c r="W27" s="53">
        <f t="shared" si="18"/>
        <v>0</v>
      </c>
      <c r="X27" s="53">
        <f t="shared" si="18"/>
        <v>0</v>
      </c>
      <c r="Y27" s="53">
        <f t="shared" si="18"/>
        <v>0</v>
      </c>
      <c r="Z27" s="53">
        <f t="shared" si="18"/>
        <v>0</v>
      </c>
      <c r="AA27" s="80">
        <f t="shared" si="18"/>
        <v>0</v>
      </c>
    </row>
    <row r="28" spans="1:27" ht="33">
      <c r="A28" s="200"/>
      <c r="B28" s="197"/>
      <c r="C28" s="82" t="s">
        <v>353</v>
      </c>
      <c r="D28" s="77">
        <f t="shared" si="0"/>
        <v>2700</v>
      </c>
      <c r="E28" s="53">
        <f>SUM(F28:J28)</f>
        <v>1500</v>
      </c>
      <c r="F28" s="53">
        <f>'Приложение №5'!J233</f>
        <v>300</v>
      </c>
      <c r="G28" s="53">
        <f>'Приложение №5'!J234</f>
        <v>300</v>
      </c>
      <c r="H28" s="53">
        <f>'Приложение №5'!J235</f>
        <v>300</v>
      </c>
      <c r="I28" s="53">
        <f>'Приложение №5'!J236</f>
        <v>300</v>
      </c>
      <c r="J28" s="53">
        <f>'Приложение №5'!J237</f>
        <v>300</v>
      </c>
      <c r="K28" s="80">
        <f>'Приложение №5'!J238</f>
        <v>1200</v>
      </c>
      <c r="L28" s="77">
        <f t="shared" si="2"/>
        <v>2700</v>
      </c>
      <c r="M28" s="53">
        <f>SUM(N28:R28)</f>
        <v>1500</v>
      </c>
      <c r="N28" s="53">
        <v>300</v>
      </c>
      <c r="O28" s="53">
        <v>300</v>
      </c>
      <c r="P28" s="53">
        <v>300</v>
      </c>
      <c r="Q28" s="53">
        <v>300</v>
      </c>
      <c r="R28" s="53">
        <v>300</v>
      </c>
      <c r="S28" s="80">
        <v>1200</v>
      </c>
      <c r="T28" s="77">
        <f>L28-D28</f>
        <v>0</v>
      </c>
      <c r="U28" s="53">
        <f>SUM(V28:Z28)</f>
        <v>0</v>
      </c>
      <c r="V28" s="53">
        <f t="shared" si="18"/>
        <v>0</v>
      </c>
      <c r="W28" s="53">
        <f t="shared" si="18"/>
        <v>0</v>
      </c>
      <c r="X28" s="53">
        <f t="shared" si="18"/>
        <v>0</v>
      </c>
      <c r="Y28" s="53">
        <f t="shared" si="18"/>
        <v>0</v>
      </c>
      <c r="Z28" s="53">
        <f t="shared" si="18"/>
        <v>0</v>
      </c>
      <c r="AA28" s="80">
        <f t="shared" si="18"/>
        <v>0</v>
      </c>
    </row>
    <row r="29" spans="1:27" ht="16.5" customHeight="1">
      <c r="A29" s="199">
        <v>4</v>
      </c>
      <c r="B29" s="197" t="s">
        <v>260</v>
      </c>
      <c r="C29" s="82" t="s">
        <v>255</v>
      </c>
      <c r="D29" s="77">
        <f>E29+K29</f>
        <v>6768515.350000001</v>
      </c>
      <c r="E29" s="53">
        <f>E30+E31+E32+E33</f>
        <v>4731455.350000001</v>
      </c>
      <c r="F29" s="53">
        <f aca="true" t="shared" si="19" ref="F29:K29">F30+F31+F32+F33</f>
        <v>1623050.7000000002</v>
      </c>
      <c r="G29" s="53">
        <f t="shared" si="19"/>
        <v>1561571.8</v>
      </c>
      <c r="H29" s="53">
        <f t="shared" si="19"/>
        <v>519951.89999999997</v>
      </c>
      <c r="I29" s="53">
        <f t="shared" si="19"/>
        <v>510543.2</v>
      </c>
      <c r="J29" s="53">
        <f t="shared" si="19"/>
        <v>516337.75</v>
      </c>
      <c r="K29" s="80">
        <f t="shared" si="19"/>
        <v>2037060</v>
      </c>
      <c r="L29" s="77">
        <f t="shared" si="2"/>
        <v>9591963.3</v>
      </c>
      <c r="M29" s="53">
        <f aca="true" t="shared" si="20" ref="M29:S29">M30+M31+M32+M33</f>
        <v>5994903.300000001</v>
      </c>
      <c r="N29" s="53">
        <f t="shared" si="20"/>
        <v>1764121.6</v>
      </c>
      <c r="O29" s="53">
        <f t="shared" si="20"/>
        <v>1805166.2000000002</v>
      </c>
      <c r="P29" s="53">
        <f t="shared" si="20"/>
        <v>787460.9</v>
      </c>
      <c r="Q29" s="53">
        <f t="shared" si="20"/>
        <v>803336.5</v>
      </c>
      <c r="R29" s="53">
        <f t="shared" si="20"/>
        <v>834818.1</v>
      </c>
      <c r="S29" s="80">
        <f t="shared" si="20"/>
        <v>3597060</v>
      </c>
      <c r="T29" s="77">
        <f>U29+AA29</f>
        <v>2823447.95</v>
      </c>
      <c r="U29" s="53">
        <f>V29+W29+X29+Y29+Z29</f>
        <v>1263447.95</v>
      </c>
      <c r="V29" s="53">
        <f aca="true" t="shared" si="21" ref="V29:AA29">V30+V31+V32+V33</f>
        <v>141070.90000000002</v>
      </c>
      <c r="W29" s="53">
        <f t="shared" si="21"/>
        <v>243594.40000000002</v>
      </c>
      <c r="X29" s="53">
        <f t="shared" si="21"/>
        <v>267509.00000000006</v>
      </c>
      <c r="Y29" s="53">
        <f t="shared" si="21"/>
        <v>292793.3</v>
      </c>
      <c r="Z29" s="53">
        <f t="shared" si="21"/>
        <v>318480.3499999999</v>
      </c>
      <c r="AA29" s="80">
        <f t="shared" si="21"/>
        <v>1560000</v>
      </c>
    </row>
    <row r="30" spans="1:27" ht="16.5">
      <c r="A30" s="200"/>
      <c r="B30" s="197"/>
      <c r="C30" s="82" t="s">
        <v>256</v>
      </c>
      <c r="D30" s="77">
        <f>E30+K30</f>
        <v>64599.2</v>
      </c>
      <c r="E30" s="53">
        <f>SUM(F30:J30)</f>
        <v>64599.2</v>
      </c>
      <c r="F30" s="53">
        <v>64599.2</v>
      </c>
      <c r="G30" s="53">
        <v>0</v>
      </c>
      <c r="H30" s="53">
        <v>0</v>
      </c>
      <c r="I30" s="53">
        <v>0</v>
      </c>
      <c r="J30" s="53">
        <v>0</v>
      </c>
      <c r="K30" s="80">
        <v>0</v>
      </c>
      <c r="L30" s="77">
        <f t="shared" si="2"/>
        <v>464599.2</v>
      </c>
      <c r="M30" s="53">
        <f>SUM(N30:R30)</f>
        <v>264599.2</v>
      </c>
      <c r="N30" s="53">
        <v>64599.2</v>
      </c>
      <c r="O30" s="53">
        <v>50000</v>
      </c>
      <c r="P30" s="53">
        <v>50000</v>
      </c>
      <c r="Q30" s="53">
        <v>50000</v>
      </c>
      <c r="R30" s="53">
        <v>50000</v>
      </c>
      <c r="S30" s="80">
        <v>200000</v>
      </c>
      <c r="T30" s="77">
        <f>L30-D30</f>
        <v>400000</v>
      </c>
      <c r="U30" s="53">
        <f>SUM(V30:Z30)</f>
        <v>200000</v>
      </c>
      <c r="V30" s="53">
        <f aca="true" t="shared" si="22" ref="V30:AA30">N30-F30</f>
        <v>0</v>
      </c>
      <c r="W30" s="53">
        <f t="shared" si="22"/>
        <v>50000</v>
      </c>
      <c r="X30" s="53">
        <f t="shared" si="22"/>
        <v>50000</v>
      </c>
      <c r="Y30" s="53">
        <f t="shared" si="22"/>
        <v>50000</v>
      </c>
      <c r="Z30" s="53">
        <f t="shared" si="22"/>
        <v>50000</v>
      </c>
      <c r="AA30" s="80">
        <f t="shared" si="22"/>
        <v>200000</v>
      </c>
    </row>
    <row r="31" spans="1:27" ht="33">
      <c r="A31" s="200"/>
      <c r="B31" s="197"/>
      <c r="C31" s="82" t="s">
        <v>257</v>
      </c>
      <c r="D31" s="77">
        <f t="shared" si="0"/>
        <v>3816496.6</v>
      </c>
      <c r="E31" s="53">
        <f>SUM(F31:J31)</f>
        <v>2139436.6</v>
      </c>
      <c r="F31" s="53">
        <f>'Приложение №5'!E286</f>
        <v>433429.1</v>
      </c>
      <c r="G31" s="53">
        <f>'Приложение №5'!E287</f>
        <v>431969.6</v>
      </c>
      <c r="H31" s="53">
        <f>'Приложение №5'!H288</f>
        <v>433475.3</v>
      </c>
      <c r="I31" s="53">
        <f>'Приложение №5'!H289</f>
        <v>419656.2</v>
      </c>
      <c r="J31" s="53">
        <f>'Приложение №5'!H290</f>
        <v>420906.4</v>
      </c>
      <c r="K31" s="80">
        <v>1677060</v>
      </c>
      <c r="L31" s="77">
        <f t="shared" si="2"/>
        <v>6076653.3</v>
      </c>
      <c r="M31" s="53">
        <f>SUM(N31:R31)</f>
        <v>3119593.3</v>
      </c>
      <c r="N31" s="53">
        <v>574500</v>
      </c>
      <c r="O31" s="53">
        <v>602588.8</v>
      </c>
      <c r="P31" s="53">
        <v>629414.3</v>
      </c>
      <c r="Q31" s="53">
        <v>642329.5</v>
      </c>
      <c r="R31" s="53">
        <v>670760.7</v>
      </c>
      <c r="S31" s="80">
        <v>2957060</v>
      </c>
      <c r="T31" s="77">
        <f>L31-D31</f>
        <v>2260156.6999999997</v>
      </c>
      <c r="U31" s="53">
        <f>SUM(V31:Z31)</f>
        <v>980156.7000000001</v>
      </c>
      <c r="V31" s="53">
        <f aca="true" t="shared" si="23" ref="V31:AA31">N31-F31</f>
        <v>141070.90000000002</v>
      </c>
      <c r="W31" s="53">
        <f t="shared" si="23"/>
        <v>170619.20000000007</v>
      </c>
      <c r="X31" s="53">
        <f t="shared" si="23"/>
        <v>195939.00000000006</v>
      </c>
      <c r="Y31" s="53">
        <f t="shared" si="23"/>
        <v>222673.3</v>
      </c>
      <c r="Z31" s="53">
        <f t="shared" si="23"/>
        <v>249854.29999999993</v>
      </c>
      <c r="AA31" s="80">
        <f t="shared" si="23"/>
        <v>1280000</v>
      </c>
    </row>
    <row r="32" spans="1:27" ht="16.5">
      <c r="A32" s="200"/>
      <c r="B32" s="197"/>
      <c r="C32" s="82" t="s">
        <v>355</v>
      </c>
      <c r="D32" s="77">
        <f t="shared" si="0"/>
        <v>530391.65</v>
      </c>
      <c r="E32" s="53">
        <f>SUM(F32:J32)</f>
        <v>290391.65</v>
      </c>
      <c r="F32" s="53">
        <v>52103.3</v>
      </c>
      <c r="G32" s="53">
        <v>55177.4</v>
      </c>
      <c r="H32" s="53">
        <v>58046.6</v>
      </c>
      <c r="I32" s="53">
        <v>61007</v>
      </c>
      <c r="J32" s="53">
        <v>64057.35</v>
      </c>
      <c r="K32" s="80">
        <v>240000</v>
      </c>
      <c r="L32" s="77">
        <f t="shared" si="2"/>
        <v>530391.7</v>
      </c>
      <c r="M32" s="53">
        <f>SUM(N32:R32)</f>
        <v>290391.7</v>
      </c>
      <c r="N32" s="53">
        <v>52103.3</v>
      </c>
      <c r="O32" s="53">
        <v>55177.4</v>
      </c>
      <c r="P32" s="53">
        <v>58046.6</v>
      </c>
      <c r="Q32" s="53">
        <v>61007</v>
      </c>
      <c r="R32" s="53">
        <v>64057.4</v>
      </c>
      <c r="S32" s="80">
        <v>240000</v>
      </c>
      <c r="T32" s="77">
        <f>L32-D32</f>
        <v>0.04999999993015081</v>
      </c>
      <c r="U32" s="53">
        <f>SUM(V32:Z32)</f>
        <v>0.05000000000291038</v>
      </c>
      <c r="V32" s="53">
        <f aca="true" t="shared" si="24" ref="V32:AA33">N32-F32</f>
        <v>0</v>
      </c>
      <c r="W32" s="53">
        <f t="shared" si="24"/>
        <v>0</v>
      </c>
      <c r="X32" s="53">
        <f t="shared" si="24"/>
        <v>0</v>
      </c>
      <c r="Y32" s="53">
        <f t="shared" si="24"/>
        <v>0</v>
      </c>
      <c r="Z32" s="53">
        <f t="shared" si="24"/>
        <v>0.05000000000291038</v>
      </c>
      <c r="AA32" s="80">
        <f t="shared" si="24"/>
        <v>0</v>
      </c>
    </row>
    <row r="33" spans="1:27" ht="33">
      <c r="A33" s="200"/>
      <c r="B33" s="197"/>
      <c r="C33" s="82" t="s">
        <v>353</v>
      </c>
      <c r="D33" s="77">
        <f t="shared" si="0"/>
        <v>2357027.9000000004</v>
      </c>
      <c r="E33" s="53">
        <f>SUM(F33:J33)</f>
        <v>2237027.9000000004</v>
      </c>
      <c r="F33" s="53">
        <v>1072919.1</v>
      </c>
      <c r="G33" s="53">
        <v>1074424.8</v>
      </c>
      <c r="H33" s="53">
        <v>28430</v>
      </c>
      <c r="I33" s="53">
        <v>29880</v>
      </c>
      <c r="J33" s="53">
        <v>31374</v>
      </c>
      <c r="K33" s="80">
        <v>120000</v>
      </c>
      <c r="L33" s="77">
        <f t="shared" si="2"/>
        <v>2520319.1</v>
      </c>
      <c r="M33" s="53">
        <f>SUM(N33:R33)</f>
        <v>2320319.1</v>
      </c>
      <c r="N33" s="53">
        <v>1072919.1</v>
      </c>
      <c r="O33" s="53">
        <v>1097400</v>
      </c>
      <c r="P33" s="53">
        <v>50000</v>
      </c>
      <c r="Q33" s="53">
        <v>50000</v>
      </c>
      <c r="R33" s="53">
        <v>50000</v>
      </c>
      <c r="S33" s="80">
        <v>200000</v>
      </c>
      <c r="T33" s="77">
        <f>L33-D33</f>
        <v>163291.19999999972</v>
      </c>
      <c r="U33" s="53">
        <f>SUM(V33:Z33)</f>
        <v>83291.19999999995</v>
      </c>
      <c r="V33" s="53">
        <f t="shared" si="24"/>
        <v>0</v>
      </c>
      <c r="W33" s="53">
        <f t="shared" si="24"/>
        <v>22975.199999999953</v>
      </c>
      <c r="X33" s="53">
        <f t="shared" si="24"/>
        <v>21570</v>
      </c>
      <c r="Y33" s="53">
        <f t="shared" si="24"/>
        <v>20120</v>
      </c>
      <c r="Z33" s="53">
        <f t="shared" si="24"/>
        <v>18626</v>
      </c>
      <c r="AA33" s="80">
        <f t="shared" si="24"/>
        <v>80000</v>
      </c>
    </row>
    <row r="34" spans="1:27" ht="16.5">
      <c r="A34" s="199"/>
      <c r="B34" s="197" t="s">
        <v>261</v>
      </c>
      <c r="C34" s="90" t="s">
        <v>255</v>
      </c>
      <c r="D34" s="91">
        <f>E34+K34</f>
        <v>13237137.65</v>
      </c>
      <c r="E34" s="92">
        <f aca="true" t="shared" si="25" ref="E34:K34">E35+E36+E37+E38</f>
        <v>8608277.65</v>
      </c>
      <c r="F34" s="92">
        <f t="shared" si="25"/>
        <v>2470223.6</v>
      </c>
      <c r="G34" s="92">
        <f t="shared" si="25"/>
        <v>2395767.8</v>
      </c>
      <c r="H34" s="92">
        <f t="shared" si="25"/>
        <v>1314424.6</v>
      </c>
      <c r="I34" s="92">
        <f t="shared" si="25"/>
        <v>1204803</v>
      </c>
      <c r="J34" s="92">
        <f t="shared" si="25"/>
        <v>1223058.65</v>
      </c>
      <c r="K34" s="93">
        <f t="shared" si="25"/>
        <v>4628860</v>
      </c>
      <c r="L34" s="91">
        <f>M34+S34</f>
        <v>16577812.1</v>
      </c>
      <c r="M34" s="92">
        <f aca="true" t="shared" si="26" ref="M34:S34">M35+M36+M37+M38</f>
        <v>10258852.1</v>
      </c>
      <c r="N34" s="92">
        <f t="shared" si="26"/>
        <v>2715001.8000000003</v>
      </c>
      <c r="O34" s="92">
        <f t="shared" si="26"/>
        <v>2763545.4</v>
      </c>
      <c r="P34" s="92">
        <f t="shared" si="26"/>
        <v>1669068.9</v>
      </c>
      <c r="Q34" s="92">
        <f t="shared" si="26"/>
        <v>1533396.1</v>
      </c>
      <c r="R34" s="92">
        <f t="shared" si="26"/>
        <v>1577839.9</v>
      </c>
      <c r="S34" s="93">
        <f t="shared" si="26"/>
        <v>6318960</v>
      </c>
      <c r="T34" s="91">
        <f>U34+AA34</f>
        <v>3340674.45</v>
      </c>
      <c r="U34" s="92">
        <f>V34+W34+X34+Y34+Z34</f>
        <v>1650574.4500000002</v>
      </c>
      <c r="V34" s="92">
        <f aca="true" t="shared" si="27" ref="V34:AA34">V35+V36+V37+V38</f>
        <v>244778.20000000004</v>
      </c>
      <c r="W34" s="92">
        <f t="shared" si="27"/>
        <v>367777.6</v>
      </c>
      <c r="X34" s="92">
        <f t="shared" si="27"/>
        <v>354644.30000000005</v>
      </c>
      <c r="Y34" s="92">
        <f t="shared" si="27"/>
        <v>328593.10000000003</v>
      </c>
      <c r="Z34" s="92">
        <f t="shared" si="27"/>
        <v>354781.2499999999</v>
      </c>
      <c r="AA34" s="93">
        <f t="shared" si="27"/>
        <v>1690100</v>
      </c>
    </row>
    <row r="35" spans="1:27" ht="16.5">
      <c r="A35" s="200"/>
      <c r="B35" s="197"/>
      <c r="C35" s="82" t="s">
        <v>256</v>
      </c>
      <c r="D35" s="77">
        <f>E35+K35</f>
        <v>78776.8</v>
      </c>
      <c r="E35" s="53">
        <f>E30+E25+E20+E15</f>
        <v>72776.8</v>
      </c>
      <c r="F35" s="53">
        <f>F30+F25+F20+F15</f>
        <v>65921.2</v>
      </c>
      <c r="G35" s="53">
        <f aca="true" t="shared" si="28" ref="E35:K36">G30+G25+G20+G15</f>
        <v>1476.8</v>
      </c>
      <c r="H35" s="53">
        <f t="shared" si="28"/>
        <v>1625.7</v>
      </c>
      <c r="I35" s="53">
        <f t="shared" si="28"/>
        <v>1786.5</v>
      </c>
      <c r="J35" s="53">
        <f t="shared" si="28"/>
        <v>1966.6</v>
      </c>
      <c r="K35" s="80">
        <f t="shared" si="28"/>
        <v>6000</v>
      </c>
      <c r="L35" s="77">
        <f>M35+S35</f>
        <v>492528.89999999997</v>
      </c>
      <c r="M35" s="53">
        <f>N35+O35+P35+Q35+R35</f>
        <v>280028.89999999997</v>
      </c>
      <c r="N35" s="53">
        <f aca="true" t="shared" si="29" ref="N35:S35">N15+N20+N25+N30</f>
        <v>67093.59999999999</v>
      </c>
      <c r="O35" s="53">
        <f t="shared" si="29"/>
        <v>52786.5</v>
      </c>
      <c r="P35" s="53">
        <f t="shared" si="29"/>
        <v>53067.4</v>
      </c>
      <c r="Q35" s="53">
        <f t="shared" si="29"/>
        <v>53370.8</v>
      </c>
      <c r="R35" s="53">
        <f t="shared" si="29"/>
        <v>53710.6</v>
      </c>
      <c r="S35" s="53">
        <f t="shared" si="29"/>
        <v>212500</v>
      </c>
      <c r="T35" s="77">
        <f>L35-D35</f>
        <v>413752.1</v>
      </c>
      <c r="U35" s="53">
        <f>SUM(V35:Z35)</f>
        <v>207252.09999999998</v>
      </c>
      <c r="V35" s="53">
        <f aca="true" t="shared" si="30" ref="V35:AA35">N35-F35</f>
        <v>1172.3999999999942</v>
      </c>
      <c r="W35" s="53">
        <f t="shared" si="30"/>
        <v>51309.7</v>
      </c>
      <c r="X35" s="53">
        <f t="shared" si="30"/>
        <v>51441.700000000004</v>
      </c>
      <c r="Y35" s="53">
        <f t="shared" si="30"/>
        <v>51584.3</v>
      </c>
      <c r="Z35" s="53">
        <f t="shared" si="30"/>
        <v>51744</v>
      </c>
      <c r="AA35" s="80">
        <f t="shared" si="30"/>
        <v>206500</v>
      </c>
    </row>
    <row r="36" spans="1:27" ht="33">
      <c r="A36" s="200"/>
      <c r="B36" s="197"/>
      <c r="C36" s="82" t="s">
        <v>257</v>
      </c>
      <c r="D36" s="77">
        <f t="shared" si="0"/>
        <v>3899541.3000000003</v>
      </c>
      <c r="E36" s="53">
        <f t="shared" si="28"/>
        <v>2222481.3000000003</v>
      </c>
      <c r="F36" s="53">
        <f t="shared" si="28"/>
        <v>477180</v>
      </c>
      <c r="G36" s="53">
        <f t="shared" si="28"/>
        <v>443288.8</v>
      </c>
      <c r="H36" s="53">
        <f t="shared" si="28"/>
        <v>444222.3</v>
      </c>
      <c r="I36" s="53">
        <f t="shared" si="28"/>
        <v>427429.5</v>
      </c>
      <c r="J36" s="53">
        <f t="shared" si="28"/>
        <v>430360.7</v>
      </c>
      <c r="K36" s="80">
        <f t="shared" si="28"/>
        <v>1677060</v>
      </c>
      <c r="L36" s="77">
        <f t="shared" si="2"/>
        <v>6663172.4</v>
      </c>
      <c r="M36" s="53">
        <f>N36+O36+P36+Q36+R36</f>
        <v>3582512.4</v>
      </c>
      <c r="N36" s="53">
        <f aca="true" t="shared" si="31" ref="N36:S38">N16+N21+N26+N31</f>
        <v>720785.8</v>
      </c>
      <c r="O36" s="53">
        <f t="shared" si="31"/>
        <v>736781.5</v>
      </c>
      <c r="P36" s="53">
        <f t="shared" si="31"/>
        <v>725854.9</v>
      </c>
      <c r="Q36" s="53">
        <f t="shared" si="31"/>
        <v>684318.3</v>
      </c>
      <c r="R36" s="53">
        <f t="shared" si="31"/>
        <v>714771.8999999999</v>
      </c>
      <c r="S36" s="53">
        <f>S16+S21+S26+S31</f>
        <v>3080660</v>
      </c>
      <c r="T36" s="77">
        <f>L36-D36</f>
        <v>2763631.1</v>
      </c>
      <c r="U36" s="53">
        <f>SUM(V36:Z36)</f>
        <v>1360031.1</v>
      </c>
      <c r="V36" s="53">
        <f aca="true" t="shared" si="32" ref="V36:AA36">N36-F36</f>
        <v>243605.80000000005</v>
      </c>
      <c r="W36" s="53">
        <f t="shared" si="32"/>
        <v>293492.7</v>
      </c>
      <c r="X36" s="53">
        <f t="shared" si="32"/>
        <v>281632.60000000003</v>
      </c>
      <c r="Y36" s="53">
        <f t="shared" si="32"/>
        <v>256888.80000000005</v>
      </c>
      <c r="Z36" s="53">
        <f t="shared" si="32"/>
        <v>284411.1999999999</v>
      </c>
      <c r="AA36" s="80">
        <f t="shared" si="32"/>
        <v>1403600</v>
      </c>
    </row>
    <row r="37" spans="1:27" ht="16.5">
      <c r="A37" s="200"/>
      <c r="B37" s="197"/>
      <c r="C37" s="82" t="s">
        <v>355</v>
      </c>
      <c r="D37" s="77">
        <f t="shared" si="0"/>
        <v>530391.65</v>
      </c>
      <c r="E37" s="53">
        <f aca="true" t="shared" si="33" ref="E37:J37">E32+E27+E22+E17</f>
        <v>290391.65</v>
      </c>
      <c r="F37" s="53">
        <f t="shared" si="33"/>
        <v>52103.3</v>
      </c>
      <c r="G37" s="53">
        <f t="shared" si="33"/>
        <v>55177.4</v>
      </c>
      <c r="H37" s="53">
        <f t="shared" si="33"/>
        <v>58046.6</v>
      </c>
      <c r="I37" s="53">
        <f t="shared" si="33"/>
        <v>61007</v>
      </c>
      <c r="J37" s="53">
        <f t="shared" si="33"/>
        <v>64057.35</v>
      </c>
      <c r="K37" s="80">
        <f>K32+K27+K22+K17</f>
        <v>240000</v>
      </c>
      <c r="L37" s="77">
        <f t="shared" si="2"/>
        <v>530391.7</v>
      </c>
      <c r="M37" s="53">
        <f>N37+O37+P37+Q37+R37</f>
        <v>290391.7</v>
      </c>
      <c r="N37" s="53">
        <f t="shared" si="31"/>
        <v>52103.3</v>
      </c>
      <c r="O37" s="53">
        <f t="shared" si="31"/>
        <v>55177.4</v>
      </c>
      <c r="P37" s="53">
        <f t="shared" si="31"/>
        <v>58046.6</v>
      </c>
      <c r="Q37" s="53">
        <f t="shared" si="31"/>
        <v>61007</v>
      </c>
      <c r="R37" s="53">
        <f t="shared" si="31"/>
        <v>64057.4</v>
      </c>
      <c r="S37" s="53">
        <f t="shared" si="31"/>
        <v>240000</v>
      </c>
      <c r="T37" s="77">
        <f>L37-D37</f>
        <v>0.04999999993015081</v>
      </c>
      <c r="U37" s="53">
        <f>SUM(V37:Z37)</f>
        <v>0.05000000000291038</v>
      </c>
      <c r="V37" s="53">
        <f aca="true" t="shared" si="34" ref="V37:AA38">N37-F37</f>
        <v>0</v>
      </c>
      <c r="W37" s="53">
        <f t="shared" si="34"/>
        <v>0</v>
      </c>
      <c r="X37" s="53">
        <f t="shared" si="34"/>
        <v>0</v>
      </c>
      <c r="Y37" s="53">
        <f t="shared" si="34"/>
        <v>0</v>
      </c>
      <c r="Z37" s="53">
        <f t="shared" si="34"/>
        <v>0.05000000000291038</v>
      </c>
      <c r="AA37" s="80">
        <f t="shared" si="34"/>
        <v>0</v>
      </c>
    </row>
    <row r="38" spans="1:27" ht="33.75" thickBot="1">
      <c r="A38" s="200"/>
      <c r="B38" s="197"/>
      <c r="C38" s="82" t="s">
        <v>354</v>
      </c>
      <c r="D38" s="78">
        <f t="shared" si="0"/>
        <v>8728427.9</v>
      </c>
      <c r="E38" s="79">
        <f aca="true" t="shared" si="35" ref="E38:J38">E33+E28+E23+E18</f>
        <v>6022627.9</v>
      </c>
      <c r="F38" s="79">
        <f t="shared" si="35"/>
        <v>1875019.1</v>
      </c>
      <c r="G38" s="79">
        <f t="shared" si="35"/>
        <v>1895824.8</v>
      </c>
      <c r="H38" s="79">
        <f t="shared" si="35"/>
        <v>810530</v>
      </c>
      <c r="I38" s="79">
        <f t="shared" si="35"/>
        <v>714580</v>
      </c>
      <c r="J38" s="79">
        <f t="shared" si="35"/>
        <v>726674</v>
      </c>
      <c r="K38" s="81">
        <f>K33+K28+K23+K18</f>
        <v>2705800</v>
      </c>
      <c r="L38" s="78">
        <f t="shared" si="2"/>
        <v>8891719.1</v>
      </c>
      <c r="M38" s="53">
        <f>N38+O38+P38+Q38+R38</f>
        <v>6105919.1</v>
      </c>
      <c r="N38" s="53">
        <f t="shared" si="31"/>
        <v>1875019.1</v>
      </c>
      <c r="O38" s="53">
        <f t="shared" si="31"/>
        <v>1918800</v>
      </c>
      <c r="P38" s="53">
        <f t="shared" si="31"/>
        <v>832100</v>
      </c>
      <c r="Q38" s="53">
        <f t="shared" si="31"/>
        <v>734700</v>
      </c>
      <c r="R38" s="53">
        <f t="shared" si="31"/>
        <v>745300</v>
      </c>
      <c r="S38" s="53">
        <f t="shared" si="31"/>
        <v>2785800</v>
      </c>
      <c r="T38" s="78">
        <f>L38-D38</f>
        <v>163291.19999999925</v>
      </c>
      <c r="U38" s="79">
        <f>SUM(V38:Z38)</f>
        <v>83291.19999999995</v>
      </c>
      <c r="V38" s="79">
        <f t="shared" si="34"/>
        <v>0</v>
      </c>
      <c r="W38" s="79">
        <f t="shared" si="34"/>
        <v>22975.199999999953</v>
      </c>
      <c r="X38" s="79">
        <f t="shared" si="34"/>
        <v>21570</v>
      </c>
      <c r="Y38" s="79">
        <f t="shared" si="34"/>
        <v>20120</v>
      </c>
      <c r="Z38" s="79">
        <f t="shared" si="34"/>
        <v>18626</v>
      </c>
      <c r="AA38" s="81">
        <f t="shared" si="34"/>
        <v>80000</v>
      </c>
    </row>
    <row r="39" spans="2:27" ht="16.5">
      <c r="B39" s="89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4:27" ht="3.75" customHeight="1">
      <c r="D40" s="94"/>
      <c r="L40" s="94"/>
      <c r="T40" s="94"/>
      <c r="U40" s="94"/>
      <c r="V40" s="94"/>
      <c r="W40" s="94"/>
      <c r="X40" s="94"/>
      <c r="Y40" s="94"/>
      <c r="Z40" s="94"/>
      <c r="AA40" s="94"/>
    </row>
    <row r="41" spans="2:2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256" t="s">
        <v>404</v>
      </c>
      <c r="U41" s="256"/>
      <c r="V41" s="256"/>
      <c r="W41" s="256"/>
      <c r="X41" s="256"/>
      <c r="Y41" s="256"/>
      <c r="Z41" s="256"/>
      <c r="AA41" s="256"/>
    </row>
  </sheetData>
  <sheetProtection/>
  <mergeCells count="42">
    <mergeCell ref="T41:AA41"/>
    <mergeCell ref="Q2:S2"/>
    <mergeCell ref="Y2:AA2"/>
    <mergeCell ref="L9:S9"/>
    <mergeCell ref="A29:A33"/>
    <mergeCell ref="B29:B33"/>
    <mergeCell ref="A34:A38"/>
    <mergeCell ref="B34:B38"/>
    <mergeCell ref="B8:B13"/>
    <mergeCell ref="F1:K1"/>
    <mergeCell ref="F2:K2"/>
    <mergeCell ref="K11:K13"/>
    <mergeCell ref="U12:U13"/>
    <mergeCell ref="C8:C13"/>
    <mergeCell ref="A19:A23"/>
    <mergeCell ref="B19:B23"/>
    <mergeCell ref="A14:A18"/>
    <mergeCell ref="B14:B18"/>
    <mergeCell ref="M11:R11"/>
    <mergeCell ref="T8:AA8"/>
    <mergeCell ref="L8:S8"/>
    <mergeCell ref="M12:M13"/>
    <mergeCell ref="A24:A28"/>
    <mergeCell ref="B24:B28"/>
    <mergeCell ref="E12:E13"/>
    <mergeCell ref="F12:J12"/>
    <mergeCell ref="A8:A13"/>
    <mergeCell ref="E10:K10"/>
    <mergeCell ref="D9:K9"/>
    <mergeCell ref="D8:K8"/>
    <mergeCell ref="D10:D13"/>
    <mergeCell ref="E11:J11"/>
    <mergeCell ref="L10:L13"/>
    <mergeCell ref="M10:S10"/>
    <mergeCell ref="S11:S13"/>
    <mergeCell ref="T9:AA9"/>
    <mergeCell ref="T10:T13"/>
    <mergeCell ref="U10:AA10"/>
    <mergeCell ref="U11:Z11"/>
    <mergeCell ref="AA11:AA13"/>
    <mergeCell ref="N12:R12"/>
    <mergeCell ref="V12:Z12"/>
  </mergeCells>
  <printOptions horizontalCentered="1"/>
  <pageMargins left="0" right="0" top="0.7874015748031497" bottom="0.3937007874015748" header="0.31496062992125984" footer="0.1968503937007874"/>
  <pageSetup fitToHeight="10" horizontalDpi="600" verticalDpi="600" orientation="landscape" paperSize="9" scale="55" r:id="rId1"/>
  <headerFooter alignWithMargins="0">
    <oddHeader>&amp;C&amp;P</oddHeader>
  </headerFooter>
  <colBreaks count="2" manualBreakCount="2">
    <brk id="11" max="41" man="1"/>
    <brk id="19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60" zoomScalePageLayoutView="50" workbookViewId="0" topLeftCell="A1">
      <selection activeCell="D3" sqref="D3"/>
    </sheetView>
  </sheetViews>
  <sheetFormatPr defaultColWidth="47.00390625" defaultRowHeight="12.75"/>
  <cols>
    <col min="1" max="1" width="7.00390625" style="7" bestFit="1" customWidth="1"/>
    <col min="2" max="2" width="87.75390625" style="26" bestFit="1" customWidth="1"/>
    <col min="3" max="3" width="18.375" style="7" bestFit="1" customWidth="1"/>
    <col min="4" max="4" width="22.00390625" style="25" customWidth="1"/>
    <col min="5" max="5" width="9.875" style="7" bestFit="1" customWidth="1"/>
    <col min="6" max="6" width="11.75390625" style="7" customWidth="1"/>
    <col min="7" max="7" width="10.125" style="7" customWidth="1"/>
    <col min="8" max="8" width="10.25390625" style="7" customWidth="1"/>
    <col min="9" max="15" width="14.875" style="7" bestFit="1" customWidth="1"/>
    <col min="16" max="16384" width="47.00390625" style="7" customWidth="1"/>
  </cols>
  <sheetData>
    <row r="1" spans="1:15" ht="18.75">
      <c r="A1" s="2"/>
      <c r="B1" s="2"/>
      <c r="C1" s="2"/>
      <c r="D1" s="3"/>
      <c r="E1" s="2"/>
      <c r="F1" s="2"/>
      <c r="G1" s="2"/>
      <c r="H1" s="214"/>
      <c r="I1" s="214"/>
      <c r="J1" s="214"/>
      <c r="K1" s="214"/>
      <c r="L1" s="214"/>
      <c r="M1" s="214"/>
      <c r="N1" s="214"/>
      <c r="O1" s="214"/>
    </row>
    <row r="2" spans="1:15" ht="18.75">
      <c r="A2" s="2"/>
      <c r="B2" s="2"/>
      <c r="C2" s="2"/>
      <c r="D2" s="3"/>
      <c r="E2" s="2"/>
      <c r="F2" s="2"/>
      <c r="G2" s="2"/>
      <c r="H2" s="85"/>
      <c r="I2" s="85"/>
      <c r="J2" s="85"/>
      <c r="K2" s="214" t="s">
        <v>406</v>
      </c>
      <c r="L2" s="214"/>
      <c r="M2" s="214"/>
      <c r="N2" s="214"/>
      <c r="O2" s="214"/>
    </row>
    <row r="3" spans="1:15" ht="77.25" customHeight="1">
      <c r="A3" s="2"/>
      <c r="B3" s="2"/>
      <c r="C3" s="2"/>
      <c r="D3" s="3"/>
      <c r="E3" s="2"/>
      <c r="F3" s="2"/>
      <c r="G3" s="2"/>
      <c r="H3" s="85"/>
      <c r="I3" s="85"/>
      <c r="J3" s="85"/>
      <c r="K3" s="215" t="s">
        <v>405</v>
      </c>
      <c r="L3" s="215"/>
      <c r="M3" s="215"/>
      <c r="N3" s="215"/>
      <c r="O3" s="215"/>
    </row>
    <row r="4" spans="1:15" ht="38.25" customHeight="1" thickBot="1">
      <c r="A4" s="216" t="s">
        <v>358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s="8" customFormat="1" ht="13.5" thickBot="1">
      <c r="A5" s="212" t="s">
        <v>71</v>
      </c>
      <c r="B5" s="212" t="s">
        <v>72</v>
      </c>
      <c r="C5" s="212" t="s">
        <v>359</v>
      </c>
      <c r="D5" s="212" t="s">
        <v>186</v>
      </c>
      <c r="E5" s="224" t="s">
        <v>73</v>
      </c>
      <c r="F5" s="225"/>
      <c r="G5" s="225"/>
      <c r="H5" s="225"/>
      <c r="I5" s="225"/>
      <c r="J5" s="225"/>
      <c r="K5" s="225"/>
      <c r="L5" s="225"/>
      <c r="M5" s="225"/>
      <c r="N5" s="225"/>
      <c r="O5" s="226"/>
    </row>
    <row r="6" spans="1:15" s="8" customFormat="1" ht="22.5" customHeight="1" thickBot="1">
      <c r="A6" s="213"/>
      <c r="B6" s="213"/>
      <c r="C6" s="213"/>
      <c r="D6" s="213"/>
      <c r="E6" s="9">
        <v>2007</v>
      </c>
      <c r="F6" s="9">
        <v>2008</v>
      </c>
      <c r="G6" s="9">
        <v>2009</v>
      </c>
      <c r="H6" s="9">
        <v>2010</v>
      </c>
      <c r="I6" s="9">
        <v>2011</v>
      </c>
      <c r="J6" s="9">
        <v>2012</v>
      </c>
      <c r="K6" s="9">
        <v>2013</v>
      </c>
      <c r="L6" s="9">
        <v>2014</v>
      </c>
      <c r="M6" s="9">
        <v>2015</v>
      </c>
      <c r="N6" s="9">
        <v>2016</v>
      </c>
      <c r="O6" s="9">
        <v>2020</v>
      </c>
    </row>
    <row r="7" spans="1:15" ht="21" customHeight="1" thickBot="1">
      <c r="A7" s="10">
        <v>1</v>
      </c>
      <c r="B7" s="11">
        <v>2</v>
      </c>
      <c r="C7" s="11">
        <v>3</v>
      </c>
      <c r="D7" s="12"/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3">
        <v>13</v>
      </c>
      <c r="N7" s="56"/>
      <c r="O7" s="14">
        <v>18</v>
      </c>
    </row>
    <row r="8" spans="1:15" ht="30.75" customHeight="1">
      <c r="A8" s="227" t="s">
        <v>74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</row>
    <row r="9" spans="1:15" ht="54" customHeight="1">
      <c r="A9" s="84" t="s">
        <v>75</v>
      </c>
      <c r="B9" s="15" t="s">
        <v>76</v>
      </c>
      <c r="C9" s="84" t="s">
        <v>133</v>
      </c>
      <c r="D9" s="6" t="s">
        <v>146</v>
      </c>
      <c r="E9" s="16">
        <f>Приложение_№9!D8/Приложение_№9!D7</f>
        <v>37.615821501014196</v>
      </c>
      <c r="F9" s="16">
        <f>Приложение_№9!E8/Приложение_№9!E7</f>
        <v>33.68049044356293</v>
      </c>
      <c r="G9" s="16">
        <f>Приложение_№9!F8/Приложение_№9!F7</f>
        <v>32.50692225772099</v>
      </c>
      <c r="H9" s="16">
        <f>Приложение_№9!G8/Приложение_№9!G7</f>
        <v>34.123689727463315</v>
      </c>
      <c r="I9" s="16">
        <f>Приложение_№9!H8/Приложение_№9!H7</f>
        <v>31.817937520994292</v>
      </c>
      <c r="J9" s="16">
        <f>Приложение_№9!I8/Приложение_№9!I7</f>
        <v>30.82751937984496</v>
      </c>
      <c r="K9" s="16">
        <f>Приложение_№9!J8/Приложение_№9!J7</f>
        <v>28.279882525697502</v>
      </c>
      <c r="L9" s="16">
        <f>Приложение_№9!K8/Приложение_№9!K7</f>
        <v>27.63558597091531</v>
      </c>
      <c r="M9" s="16">
        <f>Приложение_№9!L8/Приложение_№9!L7</f>
        <v>25.185336048879833</v>
      </c>
      <c r="N9" s="16">
        <f>Приложение_№9!M8/Приложение_№9!M7</f>
        <v>23.125710388724713</v>
      </c>
      <c r="O9" s="16">
        <f>Приложение_№9!N8/Приложение_№9!N7</f>
        <v>22.269813829787235</v>
      </c>
    </row>
    <row r="10" spans="1:15" ht="77.25" customHeight="1">
      <c r="A10" s="84" t="s">
        <v>77</v>
      </c>
      <c r="B10" s="15" t="s">
        <v>134</v>
      </c>
      <c r="C10" s="84" t="s">
        <v>12</v>
      </c>
      <c r="D10" s="6" t="s">
        <v>147</v>
      </c>
      <c r="E10" s="4">
        <f>Приложение_№9!D13/Приложение_№9!D9</f>
        <v>0.964</v>
      </c>
      <c r="F10" s="4">
        <f>Приложение_№9!E13/Приложение_№9!E9</f>
        <v>0.965</v>
      </c>
      <c r="G10" s="4">
        <f>Приложение_№9!F13/Приложение_№9!F9</f>
        <v>0.9729643276140196</v>
      </c>
      <c r="H10" s="4">
        <f>Приложение_№9!G13/Приложение_№9!G9</f>
        <v>0.9719768494682834</v>
      </c>
      <c r="I10" s="4">
        <f>Приложение_№9!H13/Приложение_№9!H9</f>
        <v>0.974</v>
      </c>
      <c r="J10" s="4">
        <f>Приложение_№9!I13/Приложение_№9!I9</f>
        <v>0.977</v>
      </c>
      <c r="K10" s="4">
        <f>Приложение_№9!J13/Приложение_№9!J9</f>
        <v>0.98</v>
      </c>
      <c r="L10" s="4">
        <f>Приложение_№9!K13/Приложение_№9!K9</f>
        <v>0.984</v>
      </c>
      <c r="M10" s="4">
        <f>Приложение_№9!L13/Приложение_№9!L9</f>
        <v>1</v>
      </c>
      <c r="N10" s="4">
        <f>Приложение_№9!M13/Приложение_№9!M9</f>
        <v>1</v>
      </c>
      <c r="O10" s="4">
        <f>Приложение_№9!N13/Приложение_№9!N9</f>
        <v>1</v>
      </c>
    </row>
    <row r="11" spans="1:15" ht="66" customHeight="1">
      <c r="A11" s="84" t="s">
        <v>78</v>
      </c>
      <c r="B11" s="15" t="s">
        <v>135</v>
      </c>
      <c r="C11" s="84" t="s">
        <v>12</v>
      </c>
      <c r="D11" s="6" t="s">
        <v>148</v>
      </c>
      <c r="E11" s="4">
        <f>Приложение_№9!D14/Приложение_№9!D10</f>
        <v>0.3551271077612323</v>
      </c>
      <c r="F11" s="4">
        <f>Приложение_№9!E14/Приложение_№9!E10</f>
        <v>0.3637621021163842</v>
      </c>
      <c r="G11" s="4">
        <f>Приложение_№9!F14/Приложение_№9!F10</f>
        <v>0.38196585442714553</v>
      </c>
      <c r="H11" s="4">
        <f>Приложение_№9!G14/Приложение_№9!G10</f>
        <v>0.4024426613574537</v>
      </c>
      <c r="I11" s="4">
        <f>Приложение_№9!H14/Приложение_№9!H10</f>
        <v>0.46496404780437883</v>
      </c>
      <c r="J11" s="4">
        <f>Приложение_№9!I14/Приложение_№9!I10</f>
        <v>0.502421034874189</v>
      </c>
      <c r="K11" s="4">
        <f>Приложение_№9!J14/Приложение_№9!J10</f>
        <v>0.5887449499210011</v>
      </c>
      <c r="L11" s="4">
        <f>Приложение_№9!K14/Приложение_№9!K10</f>
        <v>0.6687442001875655</v>
      </c>
      <c r="M11" s="4">
        <f>Приложение_№9!L14/Приложение_№9!L10</f>
        <v>0.7777280519054601</v>
      </c>
      <c r="N11" s="4">
        <f>Приложение_№9!M14/Приложение_№9!M10</f>
        <v>0.8727098263770958</v>
      </c>
      <c r="O11" s="4">
        <f>Приложение_№9!N14/Приложение_№9!N10</f>
        <v>1</v>
      </c>
    </row>
    <row r="12" spans="1:15" ht="69.75" customHeight="1">
      <c r="A12" s="84" t="s">
        <v>79</v>
      </c>
      <c r="B12" s="15" t="s">
        <v>136</v>
      </c>
      <c r="C12" s="84" t="s">
        <v>12</v>
      </c>
      <c r="D12" s="6" t="s">
        <v>149</v>
      </c>
      <c r="E12" s="4">
        <f>Приложение_№9!D15/Приложение_№9!D11</f>
        <v>0.14531167514931234</v>
      </c>
      <c r="F12" s="4">
        <f>Приложение_№9!E15/Приложение_№9!E11</f>
        <v>0.14713166812980938</v>
      </c>
      <c r="G12" s="4">
        <f>Приложение_№9!F15/Приложение_№9!F11</f>
        <v>0.14728695822013316</v>
      </c>
      <c r="H12" s="4">
        <f>Приложение_№9!G15/Приложение_№9!G11</f>
        <v>0.15</v>
      </c>
      <c r="I12" s="4">
        <f>Приложение_№9!H15/Приложение_№9!H11</f>
        <v>0.23</v>
      </c>
      <c r="J12" s="4">
        <f>Приложение_№9!I15/Приложение_№9!I11</f>
        <v>0.4</v>
      </c>
      <c r="K12" s="4">
        <f>Приложение_№9!J15/Приложение_№9!J11</f>
        <v>0.6</v>
      </c>
      <c r="L12" s="4">
        <f>Приложение_№9!K15/Приложение_№9!K11</f>
        <v>0.8</v>
      </c>
      <c r="M12" s="4">
        <f>Приложение_№9!L15/Приложение_№9!L11</f>
        <v>0.9</v>
      </c>
      <c r="N12" s="4">
        <f>Приложение_№9!M15/Приложение_№9!M11</f>
        <v>1</v>
      </c>
      <c r="O12" s="4">
        <f>Приложение_№9!N15/Приложение_№9!N11</f>
        <v>1</v>
      </c>
    </row>
    <row r="13" spans="1:15" ht="60" customHeight="1">
      <c r="A13" s="84" t="s">
        <v>80</v>
      </c>
      <c r="B13" s="15" t="s">
        <v>360</v>
      </c>
      <c r="C13" s="84" t="s">
        <v>12</v>
      </c>
      <c r="D13" s="6" t="s">
        <v>212</v>
      </c>
      <c r="E13" s="4">
        <f>Приложение_№9!D16/Приложение_№9!D12</f>
        <v>0.9333811418969891</v>
      </c>
      <c r="F13" s="4">
        <f>Приложение_№9!E16/Приложение_№9!E12</f>
        <v>0.9452239350657522</v>
      </c>
      <c r="G13" s="4">
        <f>Приложение_№9!F16/Приложение_№9!F12</f>
        <v>0.9513105844468048</v>
      </c>
      <c r="H13" s="4">
        <f>Приложение_№9!G16/Приложение_№9!G12</f>
        <v>0.9582531935216807</v>
      </c>
      <c r="I13" s="4">
        <f>Приложение_№9!H16/Приложение_№9!H12</f>
        <v>0.9524871683252957</v>
      </c>
      <c r="J13" s="4">
        <f>Приложение_№9!I16/Приложение_№9!I12</f>
        <v>0.9546544598884572</v>
      </c>
      <c r="K13" s="4">
        <f>Приложение_№9!J16/Приложение_№9!J12</f>
        <v>0.9554150958458041</v>
      </c>
      <c r="L13" s="4">
        <f>Приложение_№9!K16/Приложение_№9!K12</f>
        <v>0.9626265289619763</v>
      </c>
      <c r="M13" s="4">
        <f>Приложение_№9!L16/Приложение_№9!L12</f>
        <v>0.9661988334606957</v>
      </c>
      <c r="N13" s="4">
        <f>Приложение_№9!M16/Приложение_№9!M12</f>
        <v>0.9748133302156313</v>
      </c>
      <c r="O13" s="4">
        <f>Приложение_№9!N16/Приложение_№9!N12</f>
        <v>1</v>
      </c>
    </row>
    <row r="14" spans="1:15" ht="51.75" customHeight="1">
      <c r="A14" s="84" t="s">
        <v>81</v>
      </c>
      <c r="B14" s="15" t="s">
        <v>82</v>
      </c>
      <c r="C14" s="84" t="s">
        <v>83</v>
      </c>
      <c r="D14" s="6" t="s">
        <v>150</v>
      </c>
      <c r="E14" s="17">
        <f>Приложение_№9!E21-Приложение_№9!D21</f>
        <v>-34</v>
      </c>
      <c r="F14" s="17">
        <f>Приложение_№9!F21-Приложение_№9!E21</f>
        <v>58</v>
      </c>
      <c r="G14" s="17">
        <f>Приложение_№9!G21-Приложение_№9!F21</f>
        <v>17</v>
      </c>
      <c r="H14" s="17">
        <f>Приложение_№9!H21-Приложение_№9!G21</f>
        <v>-64</v>
      </c>
      <c r="I14" s="17">
        <f>Приложение_№9!I21-Приложение_№9!H21</f>
        <v>-29</v>
      </c>
      <c r="J14" s="17">
        <f>Приложение_№9!J21-Приложение_№9!I21</f>
        <v>9</v>
      </c>
      <c r="K14" s="17">
        <f>Приложение_№9!K21-Приложение_№9!J21</f>
        <v>8</v>
      </c>
      <c r="L14" s="17">
        <f>Приложение_№9!L21-Приложение_№9!K21</f>
        <v>10</v>
      </c>
      <c r="M14" s="17">
        <f>Приложение_№9!M21-Приложение_№9!L21</f>
        <v>9</v>
      </c>
      <c r="N14" s="17">
        <v>228.6</v>
      </c>
      <c r="O14" s="17">
        <v>216.6</v>
      </c>
    </row>
    <row r="15" spans="1:15" ht="62.25" customHeight="1">
      <c r="A15" s="84" t="s">
        <v>84</v>
      </c>
      <c r="B15" s="15" t="s">
        <v>361</v>
      </c>
      <c r="C15" s="84" t="s">
        <v>12</v>
      </c>
      <c r="D15" s="6" t="s">
        <v>213</v>
      </c>
      <c r="E15" s="4">
        <f>Приложение_№9!D21/Приложение_№9!D22</f>
        <v>0.18737163312012206</v>
      </c>
      <c r="F15" s="4">
        <f>Приложение_№9!E21/Приложение_№9!E22</f>
        <v>0.1571297825351664</v>
      </c>
      <c r="G15" s="4">
        <f>Приложение_№9!F21/Приложение_№9!F22</f>
        <v>0.19359342372106178</v>
      </c>
      <c r="H15" s="4">
        <f>Приложение_№9!G21/Приложение_№9!G22</f>
        <v>0.13977792857235474</v>
      </c>
      <c r="I15" s="4">
        <f>Приложение_№9!H21/Приложение_№9!H22</f>
        <v>0.1252043951877276</v>
      </c>
      <c r="J15" s="4">
        <f>Приложение_№9!I21/Приложение_№9!I22</f>
        <v>0.1071216637450634</v>
      </c>
      <c r="K15" s="4">
        <f>Приложение_№9!J21/Приложение_№9!J22</f>
        <v>0.09481440456553931</v>
      </c>
      <c r="L15" s="4">
        <f>Приложение_№9!K21/Приложение_№9!K22</f>
        <v>0.08009495741626552</v>
      </c>
      <c r="M15" s="4">
        <f>Приложение_№9!L21/Приложение_№9!L22</f>
        <v>0.07145225352017376</v>
      </c>
      <c r="N15" s="4">
        <f>Приложение_№9!M21/Приложение_№9!M22</f>
        <v>0.07070275467012058</v>
      </c>
      <c r="O15" s="4">
        <f>Приложение_№9!N21/Приложение_№9!N22</f>
        <v>0.049629639363794456</v>
      </c>
    </row>
    <row r="16" spans="1:15" ht="60" customHeight="1">
      <c r="A16" s="84" t="s">
        <v>85</v>
      </c>
      <c r="B16" s="15" t="s">
        <v>187</v>
      </c>
      <c r="C16" s="84" t="s">
        <v>86</v>
      </c>
      <c r="D16" s="6" t="s">
        <v>214</v>
      </c>
      <c r="E16" s="4">
        <f>Приложение_№9!D24/Приложение_№9!D23</f>
        <v>0.9646620982986768</v>
      </c>
      <c r="F16" s="4">
        <f>Приложение_№9!E24/Приложение_№9!E23</f>
        <v>0.9925771513353115</v>
      </c>
      <c r="G16" s="4">
        <f>Приложение_№9!F24/Приложение_№9!F23</f>
        <v>0.9848368580060423</v>
      </c>
      <c r="H16" s="4">
        <f>Приложение_№9!G24/Приложение_№9!G23</f>
        <v>0.8683681781156666</v>
      </c>
      <c r="I16" s="4">
        <f>Приложение_№9!H24/Приложение_№9!H23</f>
        <v>0.3807375808449154</v>
      </c>
      <c r="J16" s="4">
        <f>Приложение_№9!I24/Приложение_№9!I23</f>
        <v>0.7590478503764878</v>
      </c>
      <c r="K16" s="4">
        <f>Приложение_№9!J24/Приложение_№9!J23</f>
        <v>0.791301444194006</v>
      </c>
      <c r="L16" s="4">
        <f>Приложение_№9!K24/Приложение_№9!K23</f>
        <v>0.616631162507608</v>
      </c>
      <c r="M16" s="4">
        <f>Приложение_№9!L24/Приложение_№9!L23</f>
        <v>0.5931274900398407</v>
      </c>
      <c r="N16" s="4">
        <f>Приложение_№9!M24/Приложение_№9!M23</f>
        <v>0.5941460224020931</v>
      </c>
      <c r="O16" s="4">
        <f>Приложение_№9!N24/Приложение_№9!N23</f>
        <v>0.5846007604562737</v>
      </c>
    </row>
    <row r="17" spans="1:15" ht="27" customHeight="1">
      <c r="A17" s="217" t="s">
        <v>87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/>
    </row>
    <row r="18" spans="1:15" ht="29.25" customHeight="1">
      <c r="A18" s="84" t="s">
        <v>88</v>
      </c>
      <c r="B18" s="15" t="s">
        <v>89</v>
      </c>
      <c r="C18" s="84" t="s">
        <v>362</v>
      </c>
      <c r="D18" s="17" t="s">
        <v>151</v>
      </c>
      <c r="E18" s="17">
        <v>0</v>
      </c>
      <c r="F18" s="18">
        <f>((E9-F9)/E9)*Приложение_№9!D9</f>
        <v>607878.4581535278</v>
      </c>
      <c r="G18" s="18">
        <f>((E9-G9)/E9)*Приложение_№9!D9</f>
        <v>789155.9184060489</v>
      </c>
      <c r="H18" s="18">
        <f>((E9-H9)/E9)*Приложение_№9!D9</f>
        <v>539418.8308898946</v>
      </c>
      <c r="I18" s="18">
        <f>((E9-I9)/E9)*Приложение_№9!D9</f>
        <v>895581.2669570266</v>
      </c>
      <c r="J18" s="18">
        <f>((E9-J9)/E9)*Приложение_№9!D9</f>
        <v>1048568.1043488116</v>
      </c>
      <c r="K18" s="18">
        <f>((E9-K9)/E9)*Приложение_№9!D9</f>
        <v>1442093.7163559634</v>
      </c>
      <c r="L18" s="18">
        <f>((E9-L9)/E9)*Приложение_№9!D9</f>
        <v>1541616.2191891267</v>
      </c>
      <c r="M18" s="18">
        <f>((E9-M9)/E9)*Приложение_№9!D9</f>
        <v>1920098.7719790766</v>
      </c>
      <c r="N18" s="18">
        <f>((E9-N9)/E9)*Приложение_№9!D9</f>
        <v>2238242.7990992246</v>
      </c>
      <c r="O18" s="18">
        <v>2340531.2</v>
      </c>
    </row>
    <row r="19" spans="1:15" ht="28.5" customHeight="1">
      <c r="A19" s="84" t="s">
        <v>90</v>
      </c>
      <c r="B19" s="15" t="s">
        <v>91</v>
      </c>
      <c r="C19" s="84" t="s">
        <v>363</v>
      </c>
      <c r="D19" s="6" t="s">
        <v>152</v>
      </c>
      <c r="E19" s="17">
        <v>0</v>
      </c>
      <c r="F19" s="18">
        <f>F18*Приложение_№9!D17</f>
        <v>1233993.2700516614</v>
      </c>
      <c r="G19" s="18">
        <f>G18*Приложение_№9!D17</f>
        <v>1601986.514364279</v>
      </c>
      <c r="H19" s="18">
        <f>H18*Приложение_№9!D17</f>
        <v>1095020.226706486</v>
      </c>
      <c r="I19" s="18">
        <f>I18*Приложение_№9!D17</f>
        <v>1818029.9719227636</v>
      </c>
      <c r="J19" s="18">
        <f>J18*Приложение_№9!D17</f>
        <v>2128593.251828087</v>
      </c>
      <c r="K19" s="18">
        <f>K18*Приложение_№9!D17</f>
        <v>2927450.2442026054</v>
      </c>
      <c r="L19" s="18">
        <f>L18*Приложение_№9!D17</f>
        <v>3129480.924953927</v>
      </c>
      <c r="M19" s="18">
        <f>M18*Приложение_№9!D17</f>
        <v>3897800.507117525</v>
      </c>
      <c r="N19" s="18">
        <f>N18*Приложение_№9!D17</f>
        <v>4543632.882171426</v>
      </c>
      <c r="O19" s="18">
        <f>O18*Приложение_№9!D17</f>
        <v>4751278.336</v>
      </c>
    </row>
    <row r="20" spans="1:15" ht="28.5" customHeight="1">
      <c r="A20" s="84" t="s">
        <v>92</v>
      </c>
      <c r="B20" s="15" t="s">
        <v>13</v>
      </c>
      <c r="C20" s="84" t="s">
        <v>364</v>
      </c>
      <c r="D20" s="17" t="s">
        <v>153</v>
      </c>
      <c r="E20" s="17">
        <v>0</v>
      </c>
      <c r="F20" s="18">
        <f>((E9-F9)/E9)*Приложение_№9!D10</f>
        <v>1289.5656475867117</v>
      </c>
      <c r="G20" s="18">
        <f>((E9-G9)/E9)*Приложение_№9!D10</f>
        <v>1674.1313157525265</v>
      </c>
      <c r="H20" s="18">
        <f>((E9-H9)/E9)*Приложение_№9!D10</f>
        <v>1144.334010601354</v>
      </c>
      <c r="I20" s="18">
        <f>((E9-I9)/E9)*Приложение_№9!D10</f>
        <v>1899.9042012412906</v>
      </c>
      <c r="J20" s="18">
        <f>((E9-J9)/E9)*Приложение_№9!D10</f>
        <v>2224.4535702593203</v>
      </c>
      <c r="K20" s="18">
        <f>((E9-K9)/E9)*Приложение_№9!D10</f>
        <v>3059.2867575241826</v>
      </c>
      <c r="L20" s="18">
        <f>((E9-L9)/E9)*Приложение_№9!D10</f>
        <v>3270.415806586626</v>
      </c>
      <c r="M20" s="18">
        <f>((E9-M9)/E9)*Приложение_№9!D10</f>
        <v>4073.3363439772975</v>
      </c>
      <c r="N20" s="18">
        <f>((E9-N9)/E9)*Приложение_№9!D10</f>
        <v>4748.253513447744</v>
      </c>
      <c r="O20" s="18">
        <f>((E9-O9)/E9)*Приложение_№9!D10</f>
        <v>5028.72160728285</v>
      </c>
    </row>
    <row r="21" spans="1:15" ht="29.25" customHeight="1">
      <c r="A21" s="84" t="s">
        <v>93</v>
      </c>
      <c r="B21" s="15" t="s">
        <v>94</v>
      </c>
      <c r="C21" s="84" t="s">
        <v>363</v>
      </c>
      <c r="D21" s="6" t="s">
        <v>224</v>
      </c>
      <c r="E21" s="17">
        <v>0</v>
      </c>
      <c r="F21" s="18">
        <f>F20*Приложение_№9!D18</f>
        <v>1575849.2213509618</v>
      </c>
      <c r="G21" s="18">
        <f>G20*Приложение_№9!D18</f>
        <v>2045788.4678495873</v>
      </c>
      <c r="H21" s="18">
        <f>H20*Приложение_№9!D18</f>
        <v>1398376.1609548547</v>
      </c>
      <c r="I21" s="18">
        <f>I20*Приложение_№9!D18</f>
        <v>2321682.933916857</v>
      </c>
      <c r="J21" s="18">
        <f>J20*Приложение_№9!D18</f>
        <v>2718282.2628568895</v>
      </c>
      <c r="K21" s="18">
        <f>K20*Приложение_№9!D18</f>
        <v>3738448.417694551</v>
      </c>
      <c r="L21" s="18">
        <f>L20*Приложение_№9!D18</f>
        <v>3996448.115648857</v>
      </c>
      <c r="M21" s="18">
        <f>M20*Приложение_№9!D18</f>
        <v>4977617.012340258</v>
      </c>
      <c r="N21" s="18">
        <f>N20*Приложение_№9!D18</f>
        <v>5802365.793433143</v>
      </c>
      <c r="O21" s="18">
        <f>O20*Приложение_№9!D18</f>
        <v>6145097.804099643</v>
      </c>
    </row>
    <row r="22" spans="1:15" ht="29.25" customHeight="1">
      <c r="A22" s="84" t="s">
        <v>95</v>
      </c>
      <c r="B22" s="15" t="s">
        <v>8</v>
      </c>
      <c r="C22" s="84" t="s">
        <v>365</v>
      </c>
      <c r="D22" s="17" t="s">
        <v>154</v>
      </c>
      <c r="E22" s="17">
        <v>0</v>
      </c>
      <c r="F22" s="18">
        <f>((E9-F9)/E9)*Приложение_№9!D11</f>
        <v>5687.708155742957</v>
      </c>
      <c r="G22" s="18">
        <f>((E9-G9)/E9)*Приложение_№9!D11</f>
        <v>7383.858554397531</v>
      </c>
      <c r="H22" s="18">
        <f>((E9-H9)/E9)*Приложение_№9!D11</f>
        <v>5047.155138764443</v>
      </c>
      <c r="I22" s="18">
        <f>((E9-I9)/E9)*Приложение_№9!D11</f>
        <v>8379.643673629873</v>
      </c>
      <c r="J22" s="18">
        <f>((E9-J9)/E9)*Приложение_№9!D11</f>
        <v>9811.08851442535</v>
      </c>
      <c r="K22" s="18">
        <f>((E9-K9)/E9)*Приложение_№9!D11</f>
        <v>13493.171343459431</v>
      </c>
      <c r="L22" s="18">
        <f>((E9-L9)/E9)*Приложение_№9!D11</f>
        <v>14424.368926547939</v>
      </c>
      <c r="M22" s="18">
        <f>((E9-M9)/E9)*Приложение_№9!D11</f>
        <v>17965.699061602863</v>
      </c>
      <c r="N22" s="18">
        <f>((E9-N9)/E9)*Приложение_№9!D11</f>
        <v>20942.462514034927</v>
      </c>
      <c r="O22" s="18">
        <f>((E9-O9)/E9)*Приложение_№9!D11</f>
        <v>22179.484194720128</v>
      </c>
    </row>
    <row r="23" spans="1:15" ht="30.75" customHeight="1">
      <c r="A23" s="84" t="s">
        <v>96</v>
      </c>
      <c r="B23" s="15" t="s">
        <v>9</v>
      </c>
      <c r="C23" s="84" t="s">
        <v>363</v>
      </c>
      <c r="D23" s="6" t="s">
        <v>155</v>
      </c>
      <c r="E23" s="17">
        <v>0</v>
      </c>
      <c r="F23" s="18">
        <f>F22*Приложение_№9!D19</f>
        <v>82471.76825827289</v>
      </c>
      <c r="G23" s="18">
        <f>G22*Приложение_№9!D19</f>
        <v>107065.9490387642</v>
      </c>
      <c r="H23" s="18">
        <f>H22*Приложение_№9!D19</f>
        <v>73183.74951208443</v>
      </c>
      <c r="I23" s="18">
        <f>I22*Приложение_№9!D19</f>
        <v>121504.83326763316</v>
      </c>
      <c r="J23" s="18">
        <f>J22*Приложение_№9!D19</f>
        <v>142260.78345916758</v>
      </c>
      <c r="K23" s="18">
        <f>K22*Приложение_№9!D19</f>
        <v>195650.98448016174</v>
      </c>
      <c r="L23" s="18">
        <f>L22*Приложение_№9!D19</f>
        <v>209153.34943494512</v>
      </c>
      <c r="M23" s="18">
        <f>M22*Приложение_№9!D19</f>
        <v>260502.63639324153</v>
      </c>
      <c r="N23" s="18">
        <f>N22*Приложение_№9!D19</f>
        <v>303665.7064535064</v>
      </c>
      <c r="O23" s="18">
        <f>O22*Приложение_№9!D19</f>
        <v>321602.52082344185</v>
      </c>
    </row>
    <row r="24" spans="1:15" ht="36.75" customHeight="1">
      <c r="A24" s="84" t="s">
        <v>97</v>
      </c>
      <c r="B24" s="15" t="s">
        <v>18</v>
      </c>
      <c r="C24" s="84" t="s">
        <v>365</v>
      </c>
      <c r="D24" s="17" t="s">
        <v>156</v>
      </c>
      <c r="E24" s="17">
        <v>0</v>
      </c>
      <c r="F24" s="18">
        <f>((E9-F9)/E9)*Приложение_№9!D12</f>
        <v>152545.0192471532</v>
      </c>
      <c r="G24" s="18">
        <f>((E9-G9)/E9)*Приложение_№9!D12</f>
        <v>198035.97766554108</v>
      </c>
      <c r="H24" s="18">
        <f>((E9-H9)/E9)*Приложение_№9!D12</f>
        <v>135365.31001661767</v>
      </c>
      <c r="I24" s="18">
        <f>((E9-I9)/E9)*Приложение_№9!D12</f>
        <v>224743.05475527336</v>
      </c>
      <c r="J24" s="18">
        <f>((E9-J9)/E9)*Приложение_№9!D12</f>
        <v>263134.5781617448</v>
      </c>
      <c r="K24" s="18">
        <f>((E9-K9)/E9)*Приложение_№9!D12</f>
        <v>361888.48406626575</v>
      </c>
      <c r="L24" s="18">
        <f>((E9-L9)/E9)*Приложение_№9!D12</f>
        <v>386863.31564086216</v>
      </c>
      <c r="M24" s="18">
        <f>((E9-M9)/E9)*Приложение_№9!D12</f>
        <v>481842.2173039191</v>
      </c>
      <c r="N24" s="18">
        <f>((E9-N9)/E9)*Приложение_№9!D12</f>
        <v>561679.3723954598</v>
      </c>
      <c r="O24" s="18">
        <f>((E9-O9)/E9)*Приложение_№9!D12</f>
        <v>594856.4431807698</v>
      </c>
    </row>
    <row r="25" spans="1:15" ht="33" customHeight="1">
      <c r="A25" s="84" t="s">
        <v>98</v>
      </c>
      <c r="B25" s="15" t="s">
        <v>99</v>
      </c>
      <c r="C25" s="84" t="s">
        <v>363</v>
      </c>
      <c r="D25" s="6" t="s">
        <v>225</v>
      </c>
      <c r="E25" s="17">
        <v>0</v>
      </c>
      <c r="F25" s="18">
        <f>F24*Приложение_№9!D20/1000</f>
        <v>183664.20317357246</v>
      </c>
      <c r="G25" s="18">
        <f>G24*Приложение_№9!D20/1000</f>
        <v>238435.31710931147</v>
      </c>
      <c r="H25" s="18">
        <f>H24*Приложение_№9!D20/1000</f>
        <v>162979.83326000767</v>
      </c>
      <c r="I25" s="18">
        <f>I24*Приложение_№9!D20/1000</f>
        <v>270590.6379253491</v>
      </c>
      <c r="J25" s="18">
        <f>J24*Приложение_№9!D20/1000</f>
        <v>316814.03210674075</v>
      </c>
      <c r="K25" s="18">
        <f>K24*Приложение_№9!D20/1000</f>
        <v>435713.734815784</v>
      </c>
      <c r="L25" s="18">
        <f>L24*Приложение_№9!D20/1000</f>
        <v>465783.43203159806</v>
      </c>
      <c r="M25" s="18">
        <f>M24*Приложение_№9!D20/1000</f>
        <v>580138.0296339185</v>
      </c>
      <c r="N25" s="18">
        <f>N24*Приложение_№9!D20/1000</f>
        <v>676261.9643641335</v>
      </c>
      <c r="O25" s="18">
        <f>O24*Приложение_№9!D20/1000</f>
        <v>716207.1575896469</v>
      </c>
    </row>
    <row r="26" spans="1:15" ht="27" customHeight="1">
      <c r="A26" s="217" t="s">
        <v>100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</row>
    <row r="27" spans="1:15" ht="44.25" customHeight="1">
      <c r="A27" s="84" t="s">
        <v>101</v>
      </c>
      <c r="B27" s="15" t="s">
        <v>137</v>
      </c>
      <c r="C27" s="84" t="s">
        <v>12</v>
      </c>
      <c r="D27" s="6" t="s">
        <v>157</v>
      </c>
      <c r="E27" s="4">
        <f>Приложение_№9!D25/Приложение_№9!D26</f>
        <v>0.964</v>
      </c>
      <c r="F27" s="4">
        <f>Приложение_№9!E25/Приложение_№9!E26</f>
        <v>0.965</v>
      </c>
      <c r="G27" s="4">
        <f>Приложение_№9!F25/Приложение_№9!F26</f>
        <v>0.973</v>
      </c>
      <c r="H27" s="4">
        <f>Приложение_№9!G25/Приложение_№9!G26</f>
        <v>0.974</v>
      </c>
      <c r="I27" s="4">
        <f>Приложение_№9!H25/Приложение_№9!H26</f>
        <v>0.974</v>
      </c>
      <c r="J27" s="4">
        <f>Приложение_№9!I25/Приложение_№9!I26</f>
        <v>0.977</v>
      </c>
      <c r="K27" s="4">
        <f>Приложение_№9!J25/Приложение_№9!J26</f>
        <v>0.98</v>
      </c>
      <c r="L27" s="4">
        <f>Приложение_№9!K25/Приложение_№9!K26</f>
        <v>0.9840000000000001</v>
      </c>
      <c r="M27" s="4">
        <f>Приложение_№9!L25/Приложение_№9!L26</f>
        <v>1</v>
      </c>
      <c r="N27" s="4">
        <f>Приложение_№9!M25/Приложение_№9!M26</f>
        <v>1</v>
      </c>
      <c r="O27" s="4">
        <f>Приложение_№9!N25/Приложение_№9!N26</f>
        <v>1</v>
      </c>
    </row>
    <row r="28" spans="1:15" ht="48" customHeight="1">
      <c r="A28" s="84" t="s">
        <v>102</v>
      </c>
      <c r="B28" s="15" t="s">
        <v>4</v>
      </c>
      <c r="C28" s="84" t="s">
        <v>12</v>
      </c>
      <c r="D28" s="6" t="s">
        <v>158</v>
      </c>
      <c r="E28" s="4">
        <f>Приложение_№9!D27/Приложение_№9!D28</f>
        <v>0.491</v>
      </c>
      <c r="F28" s="4">
        <f>Приложение_№9!E27/Приложение_№9!E28</f>
        <v>0.494</v>
      </c>
      <c r="G28" s="4">
        <f>Приложение_№9!F27/Приложение_№9!F28</f>
        <v>0.5</v>
      </c>
      <c r="H28" s="4">
        <f>Приложение_№9!G27/Приложение_№9!G28</f>
        <v>0.53</v>
      </c>
      <c r="I28" s="4">
        <f>Приложение_№9!H27/Приложение_№9!H28</f>
        <v>0.56</v>
      </c>
      <c r="J28" s="4">
        <f>Приложение_№9!I27/Приложение_№9!I28</f>
        <v>0.6</v>
      </c>
      <c r="K28" s="4">
        <f>Приложение_№9!J27/Приложение_№9!J28</f>
        <v>0.7</v>
      </c>
      <c r="L28" s="4">
        <f>Приложение_№9!K27/Приложение_№9!K28</f>
        <v>0.8</v>
      </c>
      <c r="M28" s="4">
        <f>Приложение_№9!L27/Приложение_№9!L28</f>
        <v>0.9</v>
      </c>
      <c r="N28" s="4">
        <f>Приложение_№9!M27/Приложение_№9!M28</f>
        <v>1</v>
      </c>
      <c r="O28" s="4">
        <f>Приложение_№9!N27/Приложение_№9!N28</f>
        <v>1</v>
      </c>
    </row>
    <row r="29" spans="1:15" ht="45" customHeight="1">
      <c r="A29" s="84" t="s">
        <v>103</v>
      </c>
      <c r="B29" s="15" t="s">
        <v>5</v>
      </c>
      <c r="C29" s="84" t="s">
        <v>12</v>
      </c>
      <c r="D29" s="6" t="s">
        <v>159</v>
      </c>
      <c r="E29" s="4">
        <f>Приложение_№9!D29/Приложение_№9!D30</f>
        <v>0.445</v>
      </c>
      <c r="F29" s="4">
        <f>Приложение_№9!E29/Приложение_№9!E30</f>
        <v>0.45</v>
      </c>
      <c r="G29" s="4">
        <f>Приложение_№9!F29/Приложение_№9!F30</f>
        <v>0.52</v>
      </c>
      <c r="H29" s="4">
        <f>Приложение_№9!G29/Приложение_№9!G30</f>
        <v>0.6</v>
      </c>
      <c r="I29" s="4">
        <f>Приложение_№9!H29/Приложение_№9!H30</f>
        <v>0.6</v>
      </c>
      <c r="J29" s="4">
        <f>Приложение_№9!I29/Приложение_№9!I30</f>
        <v>0.6</v>
      </c>
      <c r="K29" s="4">
        <f>Приложение_№9!J29/Приложение_№9!J30</f>
        <v>0.6</v>
      </c>
      <c r="L29" s="4">
        <f>Приложение_№9!K29/Приложение_№9!K30</f>
        <v>0.6</v>
      </c>
      <c r="M29" s="4">
        <f>Приложение_№9!L29/Приложение_№9!L30</f>
        <v>0.7</v>
      </c>
      <c r="N29" s="4">
        <f>Приложение_№9!M29/Приложение_№9!M30</f>
        <v>0.8</v>
      </c>
      <c r="O29" s="4">
        <f>Приложение_№9!N29/Приложение_№9!N30</f>
        <v>1</v>
      </c>
    </row>
    <row r="30" spans="1:15" ht="64.5" customHeight="1">
      <c r="A30" s="84" t="s">
        <v>104</v>
      </c>
      <c r="B30" s="15" t="s">
        <v>138</v>
      </c>
      <c r="C30" s="84" t="s">
        <v>12</v>
      </c>
      <c r="D30" s="6" t="s">
        <v>160</v>
      </c>
      <c r="E30" s="4">
        <f>Приложение_№9!D31/Приложение_№9!D32</f>
        <v>0.57</v>
      </c>
      <c r="F30" s="4">
        <f>Приложение_№9!E31/Приложение_№9!E32</f>
        <v>0.6</v>
      </c>
      <c r="G30" s="4">
        <f>Приложение_№9!F31/Приложение_№9!F32</f>
        <v>0.6079999999999999</v>
      </c>
      <c r="H30" s="4">
        <f>Приложение_№9!G31/Приложение_№9!G32</f>
        <v>0.6143967331862407</v>
      </c>
      <c r="I30" s="4">
        <f>Приложение_№9!H31/Приложение_№9!H32</f>
        <v>0.628</v>
      </c>
      <c r="J30" s="4">
        <f>Приложение_№9!I31/Приложение_№9!I32</f>
        <v>0.6380000000000001</v>
      </c>
      <c r="K30" s="4">
        <f>Приложение_№9!J31/Приложение_№9!J32</f>
        <v>0.64</v>
      </c>
      <c r="L30" s="4">
        <f>Приложение_№9!K31/Приложение_№9!K32</f>
        <v>0.7</v>
      </c>
      <c r="M30" s="4">
        <f>Приложение_№9!L31/Приложение_№9!L32</f>
        <v>0.73</v>
      </c>
      <c r="N30" s="4">
        <f>Приложение_№9!M31/Приложение_№9!M32</f>
        <v>0.8</v>
      </c>
      <c r="O30" s="4">
        <f>Приложение_№9!N31/Приложение_№9!N32</f>
        <v>1</v>
      </c>
    </row>
    <row r="31" spans="1:15" ht="37.5" customHeight="1">
      <c r="A31" s="84" t="s">
        <v>105</v>
      </c>
      <c r="B31" s="15" t="s">
        <v>366</v>
      </c>
      <c r="C31" s="84" t="s">
        <v>12</v>
      </c>
      <c r="D31" s="5" t="s">
        <v>223</v>
      </c>
      <c r="E31" s="4">
        <f>Приложение_№9!D34/Приложение_№9!D33/1000</f>
        <v>0.06837465489974912</v>
      </c>
      <c r="F31" s="4">
        <f>Приложение_№9!E34/Приложение_№9!D33/1000</f>
        <v>0.07743708302055582</v>
      </c>
      <c r="G31" s="4">
        <f>Приложение_№9!F34/Приложение_№9!D33/1000</f>
        <v>0.09363456390929775</v>
      </c>
      <c r="H31" s="4">
        <f>Приложение_№9!G34/Приложение_№9!D33/1000</f>
        <v>0.11186654566033333</v>
      </c>
      <c r="I31" s="4">
        <f>Приложение_№9!H34/Приложение_№9!D33/1000</f>
        <v>0.12772566733157292</v>
      </c>
      <c r="J31" s="4">
        <f>Приложение_№9!I34/Приложение_№9!D33/1000</f>
        <v>0.13836883643318482</v>
      </c>
      <c r="K31" s="4">
        <f>Приложение_№9!J34/Приложение_№9!D33/1000</f>
        <v>0.14948923067763412</v>
      </c>
      <c r="L31" s="4">
        <f>Приложение_№9!K34/Приложение_№9!D33/1000</f>
        <v>0.1584871778471962</v>
      </c>
      <c r="M31" s="4">
        <f>Приложение_№9!L34/Приложение_№9!D33/1000</f>
        <v>0.16817773429480473</v>
      </c>
      <c r="N31" s="4">
        <f>Приложение_№9!M34/Приложение_№9!D33/1000</f>
        <v>0.1785662853100851</v>
      </c>
      <c r="O31" s="4">
        <f>Приложение_№9!N34/Приложение_№9!D33/1000</f>
        <v>0.2180458491134275</v>
      </c>
    </row>
    <row r="32" spans="1:15" ht="42.75" customHeight="1">
      <c r="A32" s="84" t="s">
        <v>106</v>
      </c>
      <c r="B32" s="15" t="s">
        <v>367</v>
      </c>
      <c r="C32" s="84" t="s">
        <v>12</v>
      </c>
      <c r="D32" s="6" t="s">
        <v>161</v>
      </c>
      <c r="E32" s="4">
        <f>Приложение_№9!D34/Приложение_№9!D33/1000</f>
        <v>0.06837465489974912</v>
      </c>
      <c r="F32" s="4">
        <f>Приложение_№9!E34/Приложение_№9!E33/1000</f>
        <v>0.05636082443029017</v>
      </c>
      <c r="G32" s="4">
        <f>Приложение_№9!F34/Приложение_№9!F33/1000</f>
        <v>0.06083659959879897</v>
      </c>
      <c r="H32" s="4">
        <f>Приложение_№9!G34/Приложение_№9!G33/1000</f>
        <v>0.06845111732492414</v>
      </c>
      <c r="I32" s="4">
        <f>Приложение_№9!H34/Приложение_№9!H33/1000</f>
        <v>0.07360546635276252</v>
      </c>
      <c r="J32" s="4">
        <f>Приложение_№9!I34/Приложение_№9!I33/1000</f>
        <v>0.0750968553591223</v>
      </c>
      <c r="K32" s="4">
        <f>Приложение_№9!J34/Приложение_№9!J33/1000</f>
        <v>0.07640907530077726</v>
      </c>
      <c r="L32" s="4">
        <f>Приложение_№9!K34/Приложение_№9!K33/1000</f>
        <v>0.07629230626128589</v>
      </c>
      <c r="M32" s="4">
        <f>Приложение_№9!L34/Приложение_№9!L33/1000</f>
        <v>0.07624417739770047</v>
      </c>
      <c r="N32" s="4">
        <f>Приложение_№9!M34/Приложение_№9!M33/1000</f>
        <v>0.07626293153596249</v>
      </c>
      <c r="O32" s="4">
        <f>Приложение_№9!N34/Приложение_№9!N33/1000</f>
        <v>0.07658562573266088</v>
      </c>
    </row>
    <row r="33" spans="1:15" ht="46.5" customHeight="1">
      <c r="A33" s="84" t="s">
        <v>107</v>
      </c>
      <c r="B33" s="15" t="s">
        <v>368</v>
      </c>
      <c r="C33" s="84" t="s">
        <v>222</v>
      </c>
      <c r="D33" s="6" t="s">
        <v>162</v>
      </c>
      <c r="E33" s="16">
        <f>Приложение_№9!E34-Приложение_№9!D34</f>
        <v>465.99911640000073</v>
      </c>
      <c r="F33" s="16">
        <f>Приложение_№9!F34-Приложение_№9!E34</f>
        <v>832.8906647799995</v>
      </c>
      <c r="G33" s="16">
        <f>Приложение_№9!G34-Приложение_№9!F34</f>
        <v>937.50673362</v>
      </c>
      <c r="H33" s="16">
        <f>Приложение_№9!H34-Приложение_№9!G34</f>
        <v>815.4918954568111</v>
      </c>
      <c r="I33" s="16">
        <f>Приложение_№9!I34-Приложение_№9!H34</f>
        <v>547.2823983739845</v>
      </c>
      <c r="J33" s="16">
        <f>Приложение_№9!J34-Приложение_№9!I34</f>
        <v>571.8217924438286</v>
      </c>
      <c r="K33" s="16">
        <f>Приложение_№9!K34-Приложение_№9!J34</f>
        <v>462.6834414060522</v>
      </c>
      <c r="L33" s="16">
        <f>Приложение_№9!L34-Приложение_№9!K34</f>
        <v>498.2981030924775</v>
      </c>
      <c r="M33" s="16">
        <f>Приложение_№9!M34-Приложение_№9!L34</f>
        <v>534.1896817567304</v>
      </c>
      <c r="N33" s="16">
        <v>626.3</v>
      </c>
      <c r="O33" s="16">
        <v>979.42864596481</v>
      </c>
    </row>
    <row r="34" spans="1:15" ht="42.75" customHeight="1">
      <c r="A34" s="84" t="s">
        <v>108</v>
      </c>
      <c r="B34" s="15" t="s">
        <v>369</v>
      </c>
      <c r="C34" s="84" t="s">
        <v>222</v>
      </c>
      <c r="D34" s="6" t="s">
        <v>398</v>
      </c>
      <c r="E34" s="16">
        <f>Приложение_№9!E34-Приложение_№9!D34</f>
        <v>465.99911640000073</v>
      </c>
      <c r="F34" s="16">
        <f>Приложение_№9!F34-Приложение_№9!D34</f>
        <v>1298.8897811800002</v>
      </c>
      <c r="G34" s="16">
        <f>Приложение_№9!G34-Приложение_№9!D34</f>
        <v>2236.3965148</v>
      </c>
      <c r="H34" s="16">
        <f>Приложение_№9!H34-Приложение_№9!D34</f>
        <v>3051.8884102568113</v>
      </c>
      <c r="I34" s="16">
        <f>Приложение_№9!I34-Приложение_№9!D34</f>
        <v>3599.170808630796</v>
      </c>
      <c r="J34" s="16">
        <f>Приложение_№9!J34-Приложение_№9!D34</f>
        <v>4170.992601074624</v>
      </c>
      <c r="K34" s="16">
        <f>Приложение_№9!K34-Приложение_№9!D34</f>
        <v>4633.676042480676</v>
      </c>
      <c r="L34" s="16">
        <f>Приложение_№9!L34-Приложение_№9!D34</f>
        <v>5131.974145573155</v>
      </c>
      <c r="M34" s="16">
        <f>Приложение_№9!M34-Приложение_№9!D34</f>
        <v>5666.163827329885</v>
      </c>
      <c r="N34" s="16">
        <f>Приложение_№9!N34-Приложение_№9!D34</f>
        <v>7696.242477661555</v>
      </c>
      <c r="O34" s="16">
        <v>10698.184428356795</v>
      </c>
    </row>
    <row r="35" spans="1:15" ht="46.5" customHeight="1">
      <c r="A35" s="84" t="s">
        <v>109</v>
      </c>
      <c r="B35" s="15" t="s">
        <v>370</v>
      </c>
      <c r="C35" s="84" t="s">
        <v>12</v>
      </c>
      <c r="D35" s="6" t="s">
        <v>163</v>
      </c>
      <c r="E35" s="4">
        <f>Приложение_№9!D35/Приложение_№9!D33/1000</f>
        <v>0.06808502362847864</v>
      </c>
      <c r="F35" s="4">
        <f>Приложение_№9!E35/Приложение_№9!E33/1000</f>
        <v>0.0805378627034678</v>
      </c>
      <c r="G35" s="4">
        <f>Приложение_№9!F35/Приложение_№9!F33/1000</f>
        <v>0.08679240796267844</v>
      </c>
      <c r="H35" s="4">
        <f>Приложение_№9!G35/Приложение_№9!G33/1000</f>
        <v>0.1014101267329089</v>
      </c>
      <c r="I35" s="4">
        <f>Приложение_№9!H35/Приложение_№9!H33/1000</f>
        <v>0.11603781185345553</v>
      </c>
      <c r="J35" s="4">
        <f>Приложение_№9!I35/Приложение_№9!I33/1000</f>
        <v>0.11838896218909625</v>
      </c>
      <c r="K35" s="4">
        <f>Приложение_№9!J35/Приложение_№9!J33/1000</f>
        <v>0.12045765542949163</v>
      </c>
      <c r="L35" s="4">
        <f>Приложение_№9!K35/Приложение_№9!K33/1000</f>
        <v>0.12027357095171835</v>
      </c>
      <c r="M35" s="4">
        <f>Приложение_№9!L35/Приложение_№9!L33/1000</f>
        <v>0.12019769658675365</v>
      </c>
      <c r="N35" s="4">
        <f>Приложение_№9!M35/Приложение_№9!M33/1000</f>
        <v>0.12022726217848147</v>
      </c>
      <c r="O35" s="4">
        <f>Приложение_№9!N35/Приложение_№9!N33/1000</f>
        <v>0.12073598429299444</v>
      </c>
    </row>
    <row r="36" spans="1:15" ht="41.25" customHeight="1">
      <c r="A36" s="84" t="s">
        <v>110</v>
      </c>
      <c r="B36" s="15" t="s">
        <v>371</v>
      </c>
      <c r="C36" s="84" t="s">
        <v>222</v>
      </c>
      <c r="D36" s="6" t="s">
        <v>164</v>
      </c>
      <c r="E36" s="16">
        <f>Приложение_№9!E35-Приложение_№9!D35</f>
        <v>2189</v>
      </c>
      <c r="F36" s="16">
        <f>Приложение_№9!F35-Приложение_№9!E35</f>
        <v>1179</v>
      </c>
      <c r="G36" s="16">
        <f>Приложение_№9!G35-Приложение_№9!F35</f>
        <v>1653</v>
      </c>
      <c r="H36" s="16">
        <f>Приложение_№9!H35-Приложение_№9!G35</f>
        <v>1832</v>
      </c>
      <c r="I36" s="16">
        <f>Приложение_№9!I35-Приложение_№9!H35</f>
        <v>862.7817351074336</v>
      </c>
      <c r="J36" s="16">
        <f>Приложение_№9!J35-Приложение_№9!I35</f>
        <v>901.4676878385453</v>
      </c>
      <c r="K36" s="16">
        <f>Приложение_№9!K35-Приложение_№9!J35</f>
        <v>729.4128654015367</v>
      </c>
      <c r="L36" s="16">
        <f>Приложение_№9!L35-Приложение_№9!K35</f>
        <v>785.5587960880912</v>
      </c>
      <c r="M36" s="16">
        <f>Приложение_№9!M35-Приложение_№9!L35</f>
        <v>842.1412818535628</v>
      </c>
      <c r="N36" s="16">
        <v>1038.12773185638</v>
      </c>
      <c r="O36" s="16">
        <v>1827.55484702727</v>
      </c>
    </row>
    <row r="37" spans="1:15" ht="41.25" customHeight="1">
      <c r="A37" s="84" t="s">
        <v>111</v>
      </c>
      <c r="B37" s="15" t="s">
        <v>372</v>
      </c>
      <c r="C37" s="84" t="s">
        <v>12</v>
      </c>
      <c r="D37" s="6" t="s">
        <v>165</v>
      </c>
      <c r="E37" s="4">
        <f>Приложение_№9!D37/Приложение_№9!D36</f>
        <v>0</v>
      </c>
      <c r="F37" s="4">
        <f>Приложение_№9!E37/Приложение_№9!E36</f>
        <v>0</v>
      </c>
      <c r="G37" s="4">
        <f>Приложение_№9!F37/Приложение_№9!F36</f>
        <v>0</v>
      </c>
      <c r="H37" s="4">
        <f>Приложение_№9!G37/Приложение_№9!G36</f>
        <v>0</v>
      </c>
      <c r="I37" s="4">
        <f>Приложение_№9!H37/Приложение_№9!H36</f>
        <v>0.010355029585798817</v>
      </c>
      <c r="J37" s="4">
        <f>Приложение_№9!I37/Приложение_№9!I36</f>
        <v>0.021449704142011833</v>
      </c>
      <c r="K37" s="4">
        <f>Приложение_№9!J37/Приложение_№9!J36</f>
        <v>0.03698224852071006</v>
      </c>
      <c r="L37" s="4">
        <f>Приложение_№9!K37/Приложение_№9!K36</f>
        <v>0.07396449704142012</v>
      </c>
      <c r="M37" s="4">
        <f>Приложение_№9!L37/Приложение_№9!L36</f>
        <v>0.11094674556213018</v>
      </c>
      <c r="N37" s="4">
        <f>Приложение_№9!M37/Приложение_№9!M36</f>
        <v>0.13239644970414202</v>
      </c>
      <c r="O37" s="4">
        <f>Приложение_№9!N37/Приложение_№9!N36</f>
        <v>0.13239644970414202</v>
      </c>
    </row>
    <row r="38" spans="1:15" ht="30.75" customHeight="1">
      <c r="A38" s="84" t="s">
        <v>112</v>
      </c>
      <c r="B38" s="15" t="s">
        <v>113</v>
      </c>
      <c r="C38" s="84" t="s">
        <v>48</v>
      </c>
      <c r="D38" s="6" t="s">
        <v>166</v>
      </c>
      <c r="E38" s="17">
        <f>Приложение_№9!D38</f>
        <v>0</v>
      </c>
      <c r="F38" s="17">
        <f>Приложение_№9!E38</f>
        <v>0</v>
      </c>
      <c r="G38" s="17">
        <f>Приложение_№9!F38</f>
        <v>0</v>
      </c>
      <c r="H38" s="17">
        <f>Приложение_№9!G38</f>
        <v>0</v>
      </c>
      <c r="I38" s="17">
        <f>Приложение_№9!H38</f>
        <v>50</v>
      </c>
      <c r="J38" s="17">
        <f>Приложение_№9!I38</f>
        <v>240</v>
      </c>
      <c r="K38" s="17">
        <f>Приложение_№9!J38</f>
        <v>280</v>
      </c>
      <c r="L38" s="17">
        <f>Приложение_№9!K38</f>
        <v>320</v>
      </c>
      <c r="M38" s="17">
        <f>Приложение_№9!L38</f>
        <v>360</v>
      </c>
      <c r="N38" s="17">
        <f>Приложение_№9!M38</f>
        <v>400</v>
      </c>
      <c r="O38" s="17">
        <f>Приложение_№9!N38</f>
        <v>488</v>
      </c>
    </row>
    <row r="39" spans="1:15" ht="46.5" customHeight="1">
      <c r="A39" s="84" t="s">
        <v>114</v>
      </c>
      <c r="B39" s="15" t="s">
        <v>217</v>
      </c>
      <c r="C39" s="84" t="s">
        <v>48</v>
      </c>
      <c r="D39" s="6" t="s">
        <v>167</v>
      </c>
      <c r="E39" s="4">
        <f>Приложение_№9!D40/Приложение_№9!D39</f>
        <v>0</v>
      </c>
      <c r="F39" s="4">
        <f>Приложение_№9!E40/Приложение_№9!E39</f>
        <v>0</v>
      </c>
      <c r="G39" s="4">
        <f>Приложение_№9!F40/Приложение_№9!F39</f>
        <v>0</v>
      </c>
      <c r="H39" s="4">
        <f>Приложение_№9!G40/Приложение_№9!G39</f>
        <v>0</v>
      </c>
      <c r="I39" s="4">
        <f>Приложение_№9!H40/Приложение_№9!H39</f>
        <v>0.08196721311475409</v>
      </c>
      <c r="J39" s="4">
        <f>Приложение_№9!I40/Приложение_№9!I39</f>
        <v>0.2459016393442623</v>
      </c>
      <c r="K39" s="4">
        <f>Приложение_№9!J40/Приложение_№9!J39</f>
        <v>0.4098360655737705</v>
      </c>
      <c r="L39" s="4">
        <f>Приложение_№9!K40/Приложение_№9!K39</f>
        <v>0.4918032786885246</v>
      </c>
      <c r="M39" s="4">
        <f>Приложение_№9!L40/Приложение_№9!L39</f>
        <v>0.6147540983606558</v>
      </c>
      <c r="N39" s="4">
        <f>Приложение_№9!M40/Приложение_№9!M39</f>
        <v>0.6967213114754098</v>
      </c>
      <c r="O39" s="4">
        <f>Приложение_№9!N40/Приложение_№9!N39</f>
        <v>1</v>
      </c>
    </row>
    <row r="40" spans="1:15" ht="57" customHeight="1">
      <c r="A40" s="84" t="s">
        <v>115</v>
      </c>
      <c r="B40" s="15" t="s">
        <v>116</v>
      </c>
      <c r="C40" s="84" t="s">
        <v>12</v>
      </c>
      <c r="D40" s="6" t="s">
        <v>168</v>
      </c>
      <c r="E40" s="4">
        <f>Приложение_№9!D42/Приложение_№9!D41</f>
        <v>0</v>
      </c>
      <c r="F40" s="4">
        <f>Приложение_№9!E42/Приложение_№9!E41</f>
        <v>0</v>
      </c>
      <c r="G40" s="4">
        <f>Приложение_№9!F42/Приложение_№9!F41</f>
        <v>0</v>
      </c>
      <c r="H40" s="4">
        <f>Приложение_№9!G42/Приложение_№9!G41</f>
        <v>0</v>
      </c>
      <c r="I40" s="4">
        <f>Приложение_№9!H42/Приложение_№9!H41</f>
        <v>0.35</v>
      </c>
      <c r="J40" s="4">
        <f>Приложение_№9!I42/Приложение_№9!I41</f>
        <v>0.4</v>
      </c>
      <c r="K40" s="4">
        <f>Приложение_№9!J42/Приложение_№9!J41</f>
        <v>0.45</v>
      </c>
      <c r="L40" s="4">
        <f>Приложение_№9!K42/Приложение_№9!K41</f>
        <v>0.5</v>
      </c>
      <c r="M40" s="4">
        <f>Приложение_№9!L42/Приложение_№9!L41</f>
        <v>0.55</v>
      </c>
      <c r="N40" s="4">
        <f>Приложение_№9!M42/Приложение_№9!M41</f>
        <v>0.6</v>
      </c>
      <c r="O40" s="4">
        <f>Приложение_№9!N42/Приложение_№9!N41</f>
        <v>1</v>
      </c>
    </row>
    <row r="41" spans="1:15" ht="46.5" customHeight="1">
      <c r="A41" s="84" t="s">
        <v>117</v>
      </c>
      <c r="B41" s="15" t="s">
        <v>373</v>
      </c>
      <c r="C41" s="84" t="s">
        <v>374</v>
      </c>
      <c r="D41" s="6" t="s">
        <v>169</v>
      </c>
      <c r="E41" s="16">
        <f>Приложение_№9!D43/Приложение_№9!D44</f>
        <v>4.5306421212250045</v>
      </c>
      <c r="F41" s="16">
        <f>Приложение_№9!E43/Приложение_№9!E44</f>
        <v>5.42581804666005</v>
      </c>
      <c r="G41" s="16">
        <f>Приложение_№9!F43/Приложение_№9!F44</f>
        <v>9.718951030019461</v>
      </c>
      <c r="H41" s="16">
        <f>Приложение_№9!G43/Приложение_№9!G44</f>
        <v>10.788035643321603</v>
      </c>
      <c r="I41" s="16">
        <f>Приложение_№9!H43/Приложение_№9!H44</f>
        <v>11.97471956408698</v>
      </c>
      <c r="J41" s="16">
        <f>Приложение_№9!I43/Приложение_№9!I44</f>
        <v>13.29193871613655</v>
      </c>
      <c r="K41" s="16">
        <f>Приложение_№9!J43/Приложение_№9!J44</f>
        <v>14.754051974911569</v>
      </c>
      <c r="L41" s="16">
        <f>Приложение_№9!K43/Приложение_№9!K44</f>
        <v>16.376997692151843</v>
      </c>
      <c r="M41" s="16">
        <f>Приложение_№9!L43/Приложение_№9!L44</f>
        <v>18.178467438288546</v>
      </c>
      <c r="N41" s="16">
        <f>Приложение_№9!M43/Приложение_№9!M44</f>
        <v>20.17809885650029</v>
      </c>
      <c r="O41" s="16">
        <f>Приложение_№9!N43/Приложение_№9!N44</f>
        <v>23.398027395816943</v>
      </c>
    </row>
    <row r="42" spans="1:15" ht="34.5" customHeight="1">
      <c r="A42" s="217" t="s">
        <v>118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</row>
    <row r="43" spans="1:15" ht="56.25" customHeight="1">
      <c r="A43" s="84" t="s">
        <v>119</v>
      </c>
      <c r="B43" s="15" t="s">
        <v>6</v>
      </c>
      <c r="C43" s="84" t="s">
        <v>12</v>
      </c>
      <c r="D43" s="6" t="s">
        <v>170</v>
      </c>
      <c r="E43" s="19">
        <f>Приложение_№9!D46/Приложение_№9!D45</f>
        <v>0.92</v>
      </c>
      <c r="F43" s="19">
        <f>Приложение_№9!E46/Приложение_№9!E45</f>
        <v>0.92</v>
      </c>
      <c r="G43" s="19">
        <f>Приложение_№9!F46/Приложение_№9!F45</f>
        <v>0.9299999999999999</v>
      </c>
      <c r="H43" s="19">
        <f>Приложение_№9!G46/Приложение_№9!G45</f>
        <v>0.94</v>
      </c>
      <c r="I43" s="19">
        <f>Приложение_№9!H46/Приложение_№9!H45</f>
        <v>0.974</v>
      </c>
      <c r="J43" s="19">
        <f>Приложение_№9!I46/Приложение_№9!I45</f>
        <v>0.977</v>
      </c>
      <c r="K43" s="19">
        <f>Приложение_№9!J46/Приложение_№9!J45</f>
        <v>0.98</v>
      </c>
      <c r="L43" s="19">
        <f>Приложение_№9!K46/Приложение_№9!K45</f>
        <v>0.9839999999999999</v>
      </c>
      <c r="M43" s="19">
        <f>Приложение_№9!L46/Приложение_№9!L45</f>
        <v>1</v>
      </c>
      <c r="N43" s="19">
        <f>Приложение_№9!M46/Приложение_№9!M45</f>
        <v>1</v>
      </c>
      <c r="O43" s="19">
        <f>Приложение_№9!N46/Приложение_№9!N45</f>
        <v>1</v>
      </c>
    </row>
    <row r="44" spans="1:15" ht="58.5" customHeight="1">
      <c r="A44" s="84" t="s">
        <v>120</v>
      </c>
      <c r="B44" s="15" t="s">
        <v>139</v>
      </c>
      <c r="C44" s="84" t="s">
        <v>12</v>
      </c>
      <c r="D44" s="6" t="s">
        <v>171</v>
      </c>
      <c r="E44" s="19">
        <f>Приложение_№9!D48/Приложение_№9!D47</f>
        <v>0.1</v>
      </c>
      <c r="F44" s="19">
        <f>Приложение_№9!E48/Приложение_№9!E47</f>
        <v>0.09</v>
      </c>
      <c r="G44" s="19">
        <f>Приложение_№9!F48/Приложение_№9!F47</f>
        <v>0.0851</v>
      </c>
      <c r="H44" s="19">
        <f>Приложение_№9!G48/Приложение_№9!G47</f>
        <v>0.081</v>
      </c>
      <c r="I44" s="19">
        <f>Приложение_№9!H48/Приложение_№9!H47</f>
        <v>0.16131795822445905</v>
      </c>
      <c r="J44" s="19">
        <f>Приложение_№9!I48/Приложение_№9!I47</f>
        <v>0.2409556279491884</v>
      </c>
      <c r="K44" s="19">
        <f>Приложение_№9!J48/Приложение_№9!J47</f>
        <v>0.4793331798576423</v>
      </c>
      <c r="L44" s="19">
        <f>Приложение_№9!K48/Приложение_№9!K47</f>
        <v>0.984</v>
      </c>
      <c r="M44" s="19">
        <f>Приложение_№9!L48/Приложение_№9!L47</f>
        <v>1</v>
      </c>
      <c r="N44" s="19">
        <f>Приложение_№9!M48/Приложение_№9!M47</f>
        <v>1</v>
      </c>
      <c r="O44" s="19">
        <f>Приложение_№9!N48/Приложение_№9!N47</f>
        <v>1</v>
      </c>
    </row>
    <row r="45" spans="1:15" ht="53.25" customHeight="1">
      <c r="A45" s="84" t="s">
        <v>121</v>
      </c>
      <c r="B45" s="15" t="s">
        <v>7</v>
      </c>
      <c r="C45" s="84" t="s">
        <v>12</v>
      </c>
      <c r="D45" s="6" t="s">
        <v>172</v>
      </c>
      <c r="E45" s="19">
        <f>Приложение_№9!D49/Приложение_№9!D47</f>
        <v>0.8999999999999999</v>
      </c>
      <c r="F45" s="19">
        <f>Приложение_№9!E49/Приложение_№9!E47</f>
        <v>0.91</v>
      </c>
      <c r="G45" s="19">
        <f>Приложение_№9!F49/Приложение_№9!F47</f>
        <v>0.9149</v>
      </c>
      <c r="H45" s="19">
        <f>Приложение_№9!G49/Приложение_№9!G47</f>
        <v>0.919</v>
      </c>
      <c r="I45" s="19">
        <f>Приложение_№9!H49/Приложение_№9!H47</f>
        <v>0.9299999999999987</v>
      </c>
      <c r="J45" s="19">
        <f>Приложение_№9!I49/Приложение_№9!I47</f>
        <v>0.9400000000000003</v>
      </c>
      <c r="K45" s="19">
        <f>Приложение_№9!J49/Приложение_№9!J47</f>
        <v>0.9800000000000001</v>
      </c>
      <c r="L45" s="19">
        <f>Приложение_№9!K49/Приложение_№9!K47</f>
        <v>0.984</v>
      </c>
      <c r="M45" s="19">
        <f>Приложение_№9!L49/Приложение_№9!L47</f>
        <v>1</v>
      </c>
      <c r="N45" s="19">
        <f>Приложение_№9!M49/Приложение_№9!M47</f>
        <v>1</v>
      </c>
      <c r="O45" s="19">
        <f>Приложение_№9!N49/Приложение_№9!N47</f>
        <v>1</v>
      </c>
    </row>
    <row r="46" spans="1:15" ht="58.5" customHeight="1">
      <c r="A46" s="84" t="s">
        <v>122</v>
      </c>
      <c r="B46" s="15" t="s">
        <v>140</v>
      </c>
      <c r="C46" s="84" t="s">
        <v>12</v>
      </c>
      <c r="D46" s="6" t="s">
        <v>173</v>
      </c>
      <c r="E46" s="19">
        <f>Приложение_№9!D51/Приложение_№9!D50</f>
        <v>0.05</v>
      </c>
      <c r="F46" s="19">
        <f>Приложение_№9!E51/Приложение_№9!E50</f>
        <v>0.05</v>
      </c>
      <c r="G46" s="19">
        <f>Приложение_№9!F51/Приложение_№9!F50</f>
        <v>0.05</v>
      </c>
      <c r="H46" s="19">
        <f>Приложение_№9!G51/Приложение_№9!G50</f>
        <v>0.05</v>
      </c>
      <c r="I46" s="19">
        <f>Приложение_№9!H51/Приложение_№9!H50</f>
        <v>0.07</v>
      </c>
      <c r="J46" s="19">
        <f>Приложение_№9!I51/Приложение_№9!I50</f>
        <v>0.09</v>
      </c>
      <c r="K46" s="19">
        <f>Приложение_№9!J51/Приложение_№9!J50</f>
        <v>0.11</v>
      </c>
      <c r="L46" s="19">
        <f>Приложение_№9!K51/Приложение_№9!K50</f>
        <v>0.13</v>
      </c>
      <c r="M46" s="19">
        <f>Приложение_№9!L51/Приложение_№9!L50</f>
        <v>0.2</v>
      </c>
      <c r="N46" s="19">
        <f>Приложение_№9!M51/Приложение_№9!M50</f>
        <v>0.33</v>
      </c>
      <c r="O46" s="19">
        <f>Приложение_№9!N51/Приложение_№9!N50</f>
        <v>1</v>
      </c>
    </row>
    <row r="47" spans="1:15" ht="58.5" customHeight="1">
      <c r="A47" s="84" t="s">
        <v>123</v>
      </c>
      <c r="B47" s="15" t="s">
        <v>141</v>
      </c>
      <c r="C47" s="84" t="s">
        <v>12</v>
      </c>
      <c r="D47" s="6" t="s">
        <v>174</v>
      </c>
      <c r="E47" s="19">
        <f>Приложение_№9!D53/Приложение_№9!D52</f>
        <v>0.1</v>
      </c>
      <c r="F47" s="19">
        <f>Приложение_№9!E53/Приложение_№9!E52</f>
        <v>0.09</v>
      </c>
      <c r="G47" s="19">
        <f>Приложение_№9!F53/Приложение_№9!F52</f>
        <v>0.0851</v>
      </c>
      <c r="H47" s="19">
        <f>Приложение_№9!G53/Приложение_№9!G52</f>
        <v>0.081</v>
      </c>
      <c r="I47" s="19">
        <f>Приложение_№9!H53/Приложение_№9!H52</f>
        <v>0.15</v>
      </c>
      <c r="J47" s="19">
        <f>Приложение_№9!I53/Приложение_№9!I52</f>
        <v>0.2</v>
      </c>
      <c r="K47" s="19">
        <f>Приложение_№9!J53/Приложение_№9!J52</f>
        <v>0.3499999999999999</v>
      </c>
      <c r="L47" s="19">
        <f>Приложение_№9!K53/Приложение_№9!K52</f>
        <v>0.5</v>
      </c>
      <c r="M47" s="19">
        <f>Приложение_№9!L53/Приложение_№9!L52</f>
        <v>0.7</v>
      </c>
      <c r="N47" s="19">
        <f>Приложение_№9!M53/Приложение_№9!M52</f>
        <v>1</v>
      </c>
      <c r="O47" s="19">
        <f>Приложение_№9!N53/Приложение_№9!N52</f>
        <v>1</v>
      </c>
    </row>
    <row r="48" spans="1:15" ht="60.75" customHeight="1">
      <c r="A48" s="84" t="s">
        <v>124</v>
      </c>
      <c r="B48" s="15" t="s">
        <v>142</v>
      </c>
      <c r="C48" s="84" t="s">
        <v>12</v>
      </c>
      <c r="D48" s="6" t="s">
        <v>175</v>
      </c>
      <c r="E48" s="19">
        <f>Приложение_№9!D55/Приложение_№9!D54</f>
        <v>0.08554918438702426</v>
      </c>
      <c r="F48" s="19">
        <f>Приложение_№9!E55/Приложение_№9!E54</f>
        <v>0.09544197355650745</v>
      </c>
      <c r="G48" s="19">
        <f>Приложение_№9!F55/Приложение_№9!F54</f>
        <v>0.09816339542981461</v>
      </c>
      <c r="H48" s="19">
        <f>Приложение_№9!G55/Приложение_№9!G54</f>
        <v>0.09805201946058247</v>
      </c>
      <c r="I48" s="19">
        <f>Приложение_№9!H55/Приложение_№9!H54</f>
        <v>0.1</v>
      </c>
      <c r="J48" s="19">
        <f>Приложение_№9!I55/Приложение_№9!I54</f>
        <v>0.10056258790436005</v>
      </c>
      <c r="K48" s="19">
        <f>Приложение_№9!J55/Приложение_№9!J54</f>
        <v>0.1006993006993007</v>
      </c>
      <c r="L48" s="19">
        <f>Приложение_№9!K55/Приложение_№9!K54</f>
        <v>0.17338833049726446</v>
      </c>
      <c r="M48" s="19">
        <f>Приложение_№9!L55/Приложение_№9!L54</f>
        <v>0.3439265904660713</v>
      </c>
      <c r="N48" s="19">
        <f>Приложение_№9!M55/Приложение_№9!M54</f>
        <v>0.85</v>
      </c>
      <c r="O48" s="19">
        <f>Приложение_№9!N55/Приложение_№9!N54</f>
        <v>0.9</v>
      </c>
    </row>
    <row r="49" spans="1:15" ht="63.75" customHeight="1">
      <c r="A49" s="84" t="s">
        <v>125</v>
      </c>
      <c r="B49" s="15" t="s">
        <v>143</v>
      </c>
      <c r="C49" s="84" t="s">
        <v>12</v>
      </c>
      <c r="D49" s="6" t="s">
        <v>176</v>
      </c>
      <c r="E49" s="19">
        <f>Приложение_№9!D57/Приложение_№9!D56</f>
        <v>0.07</v>
      </c>
      <c r="F49" s="19">
        <f>Приложение_№9!E57/Приложение_№9!E56</f>
        <v>0.09999999999999999</v>
      </c>
      <c r="G49" s="19">
        <f>Приложение_№9!F57/Приложение_№9!F56</f>
        <v>0.10385544216128538</v>
      </c>
      <c r="H49" s="19">
        <f>Приложение_№9!G57/Приложение_№9!G56</f>
        <v>0.11224489795918367</v>
      </c>
      <c r="I49" s="19">
        <f>Приложение_№9!H57/Приложение_№9!H56</f>
        <v>0.116</v>
      </c>
      <c r="J49" s="19">
        <f>Приложение_№9!I57/Приложение_№9!I56</f>
        <v>0.11904761904761904</v>
      </c>
      <c r="K49" s="19">
        <f>Приложение_№9!J57/Приложение_№9!J56</f>
        <v>0.1377952755905512</v>
      </c>
      <c r="L49" s="19">
        <f>Приложение_№9!K57/Приложение_№9!K56</f>
        <v>0.28</v>
      </c>
      <c r="M49" s="19">
        <f>Приложение_№9!L57/Приложение_№9!L56</f>
        <v>0.9</v>
      </c>
      <c r="N49" s="19">
        <f>Приложение_№9!M57/Приложение_№9!M56</f>
        <v>0.8999999999999999</v>
      </c>
      <c r="O49" s="19">
        <f>Приложение_№9!N57/Приложение_№9!N56</f>
        <v>1</v>
      </c>
    </row>
    <row r="50" spans="1:15" ht="62.25" customHeight="1">
      <c r="A50" s="84" t="s">
        <v>126</v>
      </c>
      <c r="B50" s="15" t="s">
        <v>144</v>
      </c>
      <c r="C50" s="84" t="s">
        <v>12</v>
      </c>
      <c r="D50" s="6" t="s">
        <v>177</v>
      </c>
      <c r="E50" s="19">
        <f>Приложение_№9!D58/Приложение_№9!D56</f>
        <v>0.07700000000000001</v>
      </c>
      <c r="F50" s="19">
        <f>Приложение_№9!E58/Приложение_№9!E56</f>
        <v>0.11000000000000001</v>
      </c>
      <c r="G50" s="19">
        <f>Приложение_№9!F58/Приложение_№9!F56</f>
        <v>0.11424098637741392</v>
      </c>
      <c r="H50" s="19">
        <f>Приложение_№9!G58/Приложение_№9!G56</f>
        <v>0.12346938775510206</v>
      </c>
      <c r="I50" s="19">
        <f>Приложение_№9!H58/Приложение_№9!H56</f>
        <v>0.12760000000000002</v>
      </c>
      <c r="J50" s="19">
        <f>Приложение_№9!I58/Приложение_№9!I56</f>
        <v>0.13095238095238096</v>
      </c>
      <c r="K50" s="19">
        <f>Приложение_№9!J58/Приложение_№9!J56</f>
        <v>0.1515748031496063</v>
      </c>
      <c r="L50" s="19">
        <f>Приложение_№9!K58/Приложение_№9!K56</f>
        <v>0.30800000000000005</v>
      </c>
      <c r="M50" s="19">
        <f>Приложение_№9!L58/Приложение_№9!L56</f>
        <v>0.9521100004265787</v>
      </c>
      <c r="N50" s="19">
        <f>Приложение_№9!M58/Приложение_№9!M56</f>
        <v>0.983630048732964</v>
      </c>
      <c r="O50" s="19">
        <f>Приложение_№9!N58/Приложение_№9!N56</f>
        <v>1</v>
      </c>
    </row>
    <row r="51" spans="1:15" ht="95.25" customHeight="1">
      <c r="A51" s="84" t="s">
        <v>127</v>
      </c>
      <c r="B51" s="15" t="s">
        <v>145</v>
      </c>
      <c r="C51" s="84" t="s">
        <v>12</v>
      </c>
      <c r="D51" s="6" t="s">
        <v>178</v>
      </c>
      <c r="E51" s="19">
        <f>Приложение_№9!D60/Приложение_№9!D59</f>
        <v>0.009999999999999998</v>
      </c>
      <c r="F51" s="19">
        <f>Приложение_№9!E60/Приложение_№9!E59</f>
        <v>0.04957900870717784</v>
      </c>
      <c r="G51" s="19">
        <f>Приложение_№9!F60/Приложение_№9!F59</f>
        <v>0.0655240477920349</v>
      </c>
      <c r="H51" s="19">
        <f>Приложение_№9!G60/Приложение_№9!G59</f>
        <v>0.06976905423883319</v>
      </c>
      <c r="I51" s="19">
        <f>Приложение_№9!H60/Приложение_№9!H59</f>
        <v>0.09281971972031358</v>
      </c>
      <c r="J51" s="19">
        <f>Приложение_№9!I60/Приложение_№9!I59</f>
        <v>0.22814485315966834</v>
      </c>
      <c r="K51" s="19">
        <f>Приложение_№9!J60/Приложение_№9!J59</f>
        <v>0.30262009339122553</v>
      </c>
      <c r="L51" s="19">
        <f>Приложение_№9!K60/Приложение_№9!K59</f>
        <v>0.38089967581249357</v>
      </c>
      <c r="M51" s="19">
        <f>Приложение_№9!L60/Приложение_№9!L59</f>
        <v>0.4602920121608878</v>
      </c>
      <c r="N51" s="19">
        <f>Приложение_№9!M60/Приложение_№9!M59</f>
        <v>0.5344821586055503</v>
      </c>
      <c r="O51" s="19">
        <f>Приложение_№9!N60/Приложение_№9!N59</f>
        <v>1</v>
      </c>
    </row>
    <row r="52" spans="1:15" ht="80.25" customHeight="1">
      <c r="A52" s="84" t="s">
        <v>128</v>
      </c>
      <c r="B52" s="15" t="s">
        <v>2</v>
      </c>
      <c r="C52" s="84" t="s">
        <v>12</v>
      </c>
      <c r="D52" s="6" t="s">
        <v>179</v>
      </c>
      <c r="E52" s="19">
        <f>Приложение_№9!D62/Приложение_№9!D61</f>
        <v>0.01</v>
      </c>
      <c r="F52" s="19">
        <f>Приложение_№9!E62/Приложение_№9!E61</f>
        <v>0.05</v>
      </c>
      <c r="G52" s="19">
        <f>Приложение_№9!F62/Приложение_№9!F61</f>
        <v>0.07047920185883012</v>
      </c>
      <c r="H52" s="19">
        <f>Приложение_№9!G62/Приложение_№9!G61</f>
        <v>0.06756964268275842</v>
      </c>
      <c r="I52" s="19">
        <f>Приложение_№9!H62/Приложение_№9!H61</f>
        <v>0.07005348128155665</v>
      </c>
      <c r="J52" s="19">
        <f>Приложение_№9!I62/Приложение_№9!I61</f>
        <v>0.15259815479701613</v>
      </c>
      <c r="K52" s="19">
        <f>Приложение_№9!J62/Приложение_№9!J61</f>
        <v>0.3036250045230547</v>
      </c>
      <c r="L52" s="19">
        <f>Приложение_№9!K62/Приложение_№9!K61</f>
        <v>0.4563411557673245</v>
      </c>
      <c r="M52" s="19">
        <f>Приложение_№9!L62/Приложение_№9!L61</f>
        <v>0.6054178585241115</v>
      </c>
      <c r="N52" s="19">
        <f>Приложение_№9!M62/Приложение_№9!M61</f>
        <v>1</v>
      </c>
      <c r="O52" s="19">
        <f>Приложение_№9!N62/Приложение_№9!N61</f>
        <v>1</v>
      </c>
    </row>
    <row r="53" spans="1:15" ht="45.75" customHeight="1">
      <c r="A53" s="84" t="s">
        <v>129</v>
      </c>
      <c r="B53" s="15" t="s">
        <v>130</v>
      </c>
      <c r="C53" s="84" t="s">
        <v>48</v>
      </c>
      <c r="D53" s="6" t="s">
        <v>228</v>
      </c>
      <c r="E53" s="20">
        <f>Приложение_№9!D64</f>
        <v>0</v>
      </c>
      <c r="F53" s="20">
        <f>Приложение_№9!E64</f>
        <v>0</v>
      </c>
      <c r="G53" s="20">
        <f>Приложение_№9!F64</f>
        <v>0</v>
      </c>
      <c r="H53" s="20">
        <f>Приложение_№9!G64</f>
        <v>0</v>
      </c>
      <c r="I53" s="20">
        <f>Приложение_№9!H64</f>
        <v>0</v>
      </c>
      <c r="J53" s="20">
        <f>Приложение_№9!I64</f>
        <v>100</v>
      </c>
      <c r="K53" s="20">
        <f>Приложение_№9!J64</f>
        <v>500</v>
      </c>
      <c r="L53" s="20">
        <f>Приложение_№9!K64</f>
        <v>1000</v>
      </c>
      <c r="M53" s="20">
        <f>Приложение_№9!L64</f>
        <v>2000</v>
      </c>
      <c r="N53" s="20">
        <f>Приложение_№9!M64</f>
        <v>4000</v>
      </c>
      <c r="O53" s="20">
        <f>Приложение_№9!N64</f>
        <v>10000</v>
      </c>
    </row>
    <row r="54" spans="1:15" ht="51" customHeight="1">
      <c r="A54" s="84" t="s">
        <v>131</v>
      </c>
      <c r="B54" s="15" t="s">
        <v>132</v>
      </c>
      <c r="C54" s="84" t="s">
        <v>12</v>
      </c>
      <c r="D54" s="6" t="s">
        <v>395</v>
      </c>
      <c r="E54" s="4">
        <f>Приложение_№9!D64/Приложение_№9!D63</f>
        <v>0</v>
      </c>
      <c r="F54" s="4">
        <f>Приложение_№9!E64/Приложение_№9!E63</f>
        <v>0</v>
      </c>
      <c r="G54" s="4">
        <f>Приложение_№9!F64/Приложение_№9!F63</f>
        <v>0</v>
      </c>
      <c r="H54" s="4">
        <f>Приложение_№9!G64/Приложение_№9!G63</f>
        <v>0</v>
      </c>
      <c r="I54" s="4">
        <f>Приложение_№9!H64/Приложение_№9!H63</f>
        <v>0</v>
      </c>
      <c r="J54" s="4">
        <f>Приложение_№9!I64/Приложение_№9!I63</f>
        <v>0.0007442635883924651</v>
      </c>
      <c r="K54" s="4">
        <f>Приложение_№9!J64/Приложение_№9!J63</f>
        <v>0.0037027711539316024</v>
      </c>
      <c r="L54" s="4">
        <f>Приложение_№9!K64/Приложение_№9!K63</f>
        <v>0.0073688166417355035</v>
      </c>
      <c r="M54" s="4">
        <f>Приложение_№9!L64/Приложение_№9!L63</f>
        <v>0.014664906877841326</v>
      </c>
      <c r="N54" s="4">
        <f>Приложение_№9!M64/Приложение_№9!M63</f>
        <v>0.029185789439122093</v>
      </c>
      <c r="O54" s="4">
        <f>Приложение_№9!N64/Приложение_№9!N63</f>
        <v>0.07155891087337651</v>
      </c>
    </row>
    <row r="55" spans="1:15" ht="29.25" customHeight="1">
      <c r="A55" s="220" t="s">
        <v>375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2"/>
    </row>
    <row r="56" spans="1:15" ht="104.25" customHeight="1">
      <c r="A56" s="21" t="s">
        <v>180</v>
      </c>
      <c r="B56" s="22" t="s">
        <v>181</v>
      </c>
      <c r="C56" s="21" t="s">
        <v>48</v>
      </c>
      <c r="D56" s="5" t="s">
        <v>182</v>
      </c>
      <c r="E56" s="23">
        <f>Приложение_№9!E65-Приложение_№9!D65</f>
        <v>4</v>
      </c>
      <c r="F56" s="23">
        <f>Приложение_№9!F65-Приложение_№9!E65</f>
        <v>10</v>
      </c>
      <c r="G56" s="23">
        <f>Приложение_№9!G65-Приложение_№9!F65</f>
        <v>5</v>
      </c>
      <c r="H56" s="23">
        <f>Приложение_№9!H65-Приложение_№9!G65</f>
        <v>5</v>
      </c>
      <c r="I56" s="23">
        <f>Приложение_№9!I65-Приложение_№9!H65</f>
        <v>10</v>
      </c>
      <c r="J56" s="23">
        <f>Приложение_№9!J65-Приложение_№9!I65</f>
        <v>10</v>
      </c>
      <c r="K56" s="23">
        <f>Приложение_№9!K65-Приложение_№9!J65</f>
        <v>10</v>
      </c>
      <c r="L56" s="23">
        <f>Приложение_№9!L65-Приложение_№9!K65</f>
        <v>10</v>
      </c>
      <c r="M56" s="23">
        <f>Приложение_№9!M65-Приложение_№9!L65</f>
        <v>10</v>
      </c>
      <c r="N56" s="23">
        <v>10</v>
      </c>
      <c r="O56" s="23">
        <v>10</v>
      </c>
    </row>
    <row r="57" spans="1:15" ht="99" customHeight="1">
      <c r="A57" s="21" t="s">
        <v>183</v>
      </c>
      <c r="B57" s="22" t="s">
        <v>184</v>
      </c>
      <c r="C57" s="21" t="s">
        <v>48</v>
      </c>
      <c r="D57" s="5" t="s">
        <v>185</v>
      </c>
      <c r="E57" s="23">
        <f>Приложение_№9!E66-Приложение_№9!D66</f>
        <v>0</v>
      </c>
      <c r="F57" s="23">
        <f>Приложение_№9!F66-Приложение_№9!E66</f>
        <v>0</v>
      </c>
      <c r="G57" s="23">
        <f>Приложение_№9!G66-Приложение_№9!F66</f>
        <v>5</v>
      </c>
      <c r="H57" s="23">
        <f>Приложение_№9!H66-Приложение_№9!G66</f>
        <v>20</v>
      </c>
      <c r="I57" s="23">
        <f>Приложение_№9!I66-Приложение_№9!H66</f>
        <v>15</v>
      </c>
      <c r="J57" s="23">
        <f>Приложение_№9!J66-Приложение_№9!I66</f>
        <v>10</v>
      </c>
      <c r="K57" s="23">
        <f>Приложение_№9!K66-Приложение_№9!J66</f>
        <v>10</v>
      </c>
      <c r="L57" s="23">
        <f>Приложение_№9!L66-Приложение_№9!K66</f>
        <v>10</v>
      </c>
      <c r="M57" s="23">
        <f>Приложение_№9!M66-Приложение_№9!L66</f>
        <v>10</v>
      </c>
      <c r="N57" s="23">
        <v>10</v>
      </c>
      <c r="O57" s="23">
        <v>10</v>
      </c>
    </row>
    <row r="58" spans="1:15" ht="12.75">
      <c r="A58" s="24"/>
      <c r="B58" s="24"/>
      <c r="C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60" spans="1:15" ht="12.75">
      <c r="A60" s="223" t="s">
        <v>215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</row>
    <row r="61" spans="1:15" ht="12.7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</row>
  </sheetData>
  <sheetProtection/>
  <mergeCells count="15">
    <mergeCell ref="A42:O42"/>
    <mergeCell ref="A55:O55"/>
    <mergeCell ref="A60:O61"/>
    <mergeCell ref="E5:O5"/>
    <mergeCell ref="A8:O8"/>
    <mergeCell ref="A17:O17"/>
    <mergeCell ref="A26:O26"/>
    <mergeCell ref="A5:A6"/>
    <mergeCell ref="B5:B6"/>
    <mergeCell ref="C5:C6"/>
    <mergeCell ref="D5:D6"/>
    <mergeCell ref="H1:O1"/>
    <mergeCell ref="K2:O2"/>
    <mergeCell ref="K3:O3"/>
    <mergeCell ref="A4:O4"/>
  </mergeCells>
  <printOptions/>
  <pageMargins left="0.15748031496062992" right="0.15748031496062992" top="0.7086614173228347" bottom="0.4330708661417323" header="0.31496062992125984" footer="0.31496062992125984"/>
  <pageSetup fitToHeight="10" horizontalDpi="600" verticalDpi="600" orientation="landscape" paperSize="9" scale="52" r:id="rId1"/>
  <headerFooter alignWithMargins="0">
    <oddHeader>&amp;C&amp;P</oddHeader>
  </headerFooter>
  <rowBreaks count="2" manualBreakCount="2">
    <brk id="25" max="255" man="1"/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="60" zoomScalePageLayoutView="0" workbookViewId="0" topLeftCell="A72">
      <selection activeCell="L73" sqref="L73"/>
    </sheetView>
  </sheetViews>
  <sheetFormatPr defaultColWidth="43.00390625" defaultRowHeight="12.75"/>
  <cols>
    <col min="1" max="1" width="6.375" style="137" bestFit="1" customWidth="1"/>
    <col min="2" max="2" width="43.00390625" style="168" customWidth="1"/>
    <col min="3" max="3" width="15.375" style="169" bestFit="1" customWidth="1"/>
    <col min="4" max="4" width="13.75390625" style="137" customWidth="1"/>
    <col min="5" max="5" width="13.875" style="137" customWidth="1"/>
    <col min="6" max="7" width="14.125" style="137" customWidth="1"/>
    <col min="8" max="8" width="15.625" style="137" customWidth="1"/>
    <col min="9" max="9" width="15.75390625" style="137" customWidth="1"/>
    <col min="10" max="10" width="15.625" style="137" customWidth="1"/>
    <col min="11" max="11" width="16.25390625" style="137" customWidth="1"/>
    <col min="12" max="13" width="15.75390625" style="137" customWidth="1"/>
    <col min="14" max="14" width="15.375" style="137" customWidth="1"/>
    <col min="15" max="16384" width="43.00390625" style="137" customWidth="1"/>
  </cols>
  <sheetData>
    <row r="1" spans="1:14" ht="18.75">
      <c r="A1" s="135"/>
      <c r="B1" s="135"/>
      <c r="C1" s="135"/>
      <c r="D1" s="135"/>
      <c r="E1" s="135"/>
      <c r="F1" s="135"/>
      <c r="G1" s="136"/>
      <c r="H1" s="136"/>
      <c r="I1" s="136"/>
      <c r="J1" s="231" t="s">
        <v>226</v>
      </c>
      <c r="K1" s="231"/>
      <c r="L1" s="231"/>
      <c r="M1" s="231"/>
      <c r="N1" s="231"/>
    </row>
    <row r="2" spans="1:14" ht="52.5" customHeight="1">
      <c r="A2" s="135"/>
      <c r="B2" s="135"/>
      <c r="C2" s="135"/>
      <c r="D2" s="135"/>
      <c r="E2" s="135"/>
      <c r="F2" s="135"/>
      <c r="G2" s="136"/>
      <c r="H2" s="136"/>
      <c r="I2" s="136"/>
      <c r="J2" s="231" t="s">
        <v>376</v>
      </c>
      <c r="K2" s="231"/>
      <c r="L2" s="231"/>
      <c r="M2" s="231"/>
      <c r="N2" s="231"/>
    </row>
    <row r="3" spans="1:14" ht="19.5" thickBot="1">
      <c r="A3" s="232" t="s">
        <v>377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2.75">
      <c r="A4" s="233" t="s">
        <v>19</v>
      </c>
      <c r="B4" s="235" t="s">
        <v>20</v>
      </c>
      <c r="C4" s="237" t="s">
        <v>378</v>
      </c>
      <c r="D4" s="239" t="s">
        <v>21</v>
      </c>
      <c r="E4" s="239"/>
      <c r="F4" s="239"/>
      <c r="G4" s="239"/>
      <c r="H4" s="239"/>
      <c r="I4" s="239"/>
      <c r="J4" s="239"/>
      <c r="K4" s="239"/>
      <c r="L4" s="239"/>
      <c r="M4" s="240"/>
      <c r="N4" s="240"/>
    </row>
    <row r="5" spans="1:14" ht="12.75">
      <c r="A5" s="234"/>
      <c r="B5" s="236"/>
      <c r="C5" s="238"/>
      <c r="D5" s="138">
        <v>2007</v>
      </c>
      <c r="E5" s="138">
        <v>2008</v>
      </c>
      <c r="F5" s="138">
        <v>2009</v>
      </c>
      <c r="G5" s="138">
        <v>2010</v>
      </c>
      <c r="H5" s="138">
        <v>2011</v>
      </c>
      <c r="I5" s="138">
        <v>2012</v>
      </c>
      <c r="J5" s="138">
        <v>2013</v>
      </c>
      <c r="K5" s="138">
        <v>2014</v>
      </c>
      <c r="L5" s="138">
        <v>2015</v>
      </c>
      <c r="M5" s="58">
        <v>2016</v>
      </c>
      <c r="N5" s="58">
        <v>2020</v>
      </c>
    </row>
    <row r="6" spans="1:14" ht="13.5" thickBot="1">
      <c r="A6" s="139">
        <v>1</v>
      </c>
      <c r="B6" s="140">
        <v>2</v>
      </c>
      <c r="C6" s="140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41">
        <v>11</v>
      </c>
      <c r="L6" s="141">
        <v>12</v>
      </c>
      <c r="M6" s="142">
        <v>13</v>
      </c>
      <c r="N6" s="142">
        <v>14</v>
      </c>
    </row>
    <row r="7" spans="1:14" ht="31.5">
      <c r="A7" s="143">
        <v>1</v>
      </c>
      <c r="B7" s="144" t="s">
        <v>218</v>
      </c>
      <c r="C7" s="145" t="s">
        <v>219</v>
      </c>
      <c r="D7" s="146">
        <v>246.5</v>
      </c>
      <c r="E7" s="146">
        <v>277.3</v>
      </c>
      <c r="F7" s="146">
        <v>281.7</v>
      </c>
      <c r="G7" s="146">
        <v>286.2</v>
      </c>
      <c r="H7" s="146">
        <v>297.7</v>
      </c>
      <c r="I7" s="146">
        <v>309.6</v>
      </c>
      <c r="J7" s="146">
        <v>340.5</v>
      </c>
      <c r="K7" s="146">
        <v>350.7</v>
      </c>
      <c r="L7" s="146">
        <v>392.8</v>
      </c>
      <c r="M7" s="146">
        <v>439.9</v>
      </c>
      <c r="N7" s="146">
        <v>752</v>
      </c>
    </row>
    <row r="8" spans="1:14" ht="15.75">
      <c r="A8" s="147">
        <v>2</v>
      </c>
      <c r="B8" s="148" t="s">
        <v>22</v>
      </c>
      <c r="C8" s="149" t="s">
        <v>379</v>
      </c>
      <c r="D8" s="150">
        <v>9272.3</v>
      </c>
      <c r="E8" s="150">
        <v>9339.6</v>
      </c>
      <c r="F8" s="150">
        <v>9157.2</v>
      </c>
      <c r="G8" s="150">
        <v>9766.2</v>
      </c>
      <c r="H8" s="150">
        <v>9472.2</v>
      </c>
      <c r="I8" s="150">
        <v>9544.2</v>
      </c>
      <c r="J8" s="150">
        <v>9629.3</v>
      </c>
      <c r="K8" s="150">
        <v>9691.8</v>
      </c>
      <c r="L8" s="150">
        <v>9892.8</v>
      </c>
      <c r="M8" s="150">
        <v>10173</v>
      </c>
      <c r="N8" s="150">
        <v>16746.9</v>
      </c>
    </row>
    <row r="9" spans="1:14" ht="15.75">
      <c r="A9" s="147">
        <v>3</v>
      </c>
      <c r="B9" s="148" t="s">
        <v>23</v>
      </c>
      <c r="C9" s="149" t="s">
        <v>362</v>
      </c>
      <c r="D9" s="134">
        <v>5810400</v>
      </c>
      <c r="E9" s="134">
        <v>5943400</v>
      </c>
      <c r="F9" s="134">
        <v>5455200</v>
      </c>
      <c r="G9" s="134">
        <v>5632700</v>
      </c>
      <c r="H9" s="134">
        <v>5600000</v>
      </c>
      <c r="I9" s="134">
        <v>5627000</v>
      </c>
      <c r="J9" s="134">
        <v>5848000</v>
      </c>
      <c r="K9" s="134">
        <v>6044000</v>
      </c>
      <c r="L9" s="134">
        <v>6632000</v>
      </c>
      <c r="M9" s="134">
        <v>7323000</v>
      </c>
      <c r="N9" s="134">
        <v>11800000</v>
      </c>
    </row>
    <row r="10" spans="1:14" ht="15.75">
      <c r="A10" s="147">
        <v>4</v>
      </c>
      <c r="B10" s="148" t="s">
        <v>24</v>
      </c>
      <c r="C10" s="149" t="s">
        <v>25</v>
      </c>
      <c r="D10" s="134">
        <v>12326.3</v>
      </c>
      <c r="E10" s="134">
        <v>11774.8</v>
      </c>
      <c r="F10" s="134">
        <v>11741.2</v>
      </c>
      <c r="G10" s="134">
        <v>11652.7</v>
      </c>
      <c r="H10" s="134">
        <v>11161.487999999998</v>
      </c>
      <c r="I10" s="134">
        <v>10843.520999999999</v>
      </c>
      <c r="J10" s="134">
        <v>10786.6174</v>
      </c>
      <c r="K10" s="134">
        <v>10737.2096</v>
      </c>
      <c r="L10" s="134">
        <v>10694.8946</v>
      </c>
      <c r="M10" s="134">
        <v>10650.000399999999</v>
      </c>
      <c r="N10" s="134">
        <v>12000</v>
      </c>
    </row>
    <row r="11" spans="1:14" ht="15.75">
      <c r="A11" s="147">
        <v>5</v>
      </c>
      <c r="B11" s="148" t="s">
        <v>26</v>
      </c>
      <c r="C11" s="149" t="s">
        <v>3</v>
      </c>
      <c r="D11" s="134">
        <v>54365.9</v>
      </c>
      <c r="E11" s="134">
        <v>61169.7</v>
      </c>
      <c r="F11" s="134">
        <v>62463.1</v>
      </c>
      <c r="G11" s="134">
        <v>62902.8</v>
      </c>
      <c r="H11" s="134">
        <v>63345.7</v>
      </c>
      <c r="I11" s="134">
        <v>63788.8</v>
      </c>
      <c r="J11" s="134">
        <v>64229.5</v>
      </c>
      <c r="K11" s="134">
        <v>65755.6</v>
      </c>
      <c r="L11" s="134">
        <v>66189.6</v>
      </c>
      <c r="M11" s="134">
        <v>66626.5</v>
      </c>
      <c r="N11" s="134">
        <v>68373.8</v>
      </c>
    </row>
    <row r="12" spans="1:14" ht="15.75">
      <c r="A12" s="147">
        <v>6</v>
      </c>
      <c r="B12" s="148" t="s">
        <v>27</v>
      </c>
      <c r="C12" s="149" t="s">
        <v>3</v>
      </c>
      <c r="D12" s="134">
        <v>1458100</v>
      </c>
      <c r="E12" s="134">
        <v>1589300</v>
      </c>
      <c r="F12" s="134">
        <v>1788700</v>
      </c>
      <c r="G12" s="134">
        <v>2084800</v>
      </c>
      <c r="H12" s="134">
        <v>1774437.775975489</v>
      </c>
      <c r="I12" s="134">
        <v>1827360</v>
      </c>
      <c r="J12" s="134">
        <v>1866750</v>
      </c>
      <c r="K12" s="134">
        <v>1874350</v>
      </c>
      <c r="L12" s="134">
        <v>1883850</v>
      </c>
      <c r="M12" s="134">
        <v>1891450</v>
      </c>
      <c r="N12" s="134">
        <v>7885000</v>
      </c>
    </row>
    <row r="13" spans="1:14" ht="94.5">
      <c r="A13" s="147">
        <v>7</v>
      </c>
      <c r="B13" s="148" t="s">
        <v>11</v>
      </c>
      <c r="C13" s="149" t="s">
        <v>362</v>
      </c>
      <c r="D13" s="134">
        <v>5601225.6</v>
      </c>
      <c r="E13" s="134">
        <v>5735381</v>
      </c>
      <c r="F13" s="134">
        <v>5307715</v>
      </c>
      <c r="G13" s="134">
        <v>5474854</v>
      </c>
      <c r="H13" s="134">
        <v>5454400</v>
      </c>
      <c r="I13" s="134">
        <v>5497579</v>
      </c>
      <c r="J13" s="134">
        <v>5731040</v>
      </c>
      <c r="K13" s="134">
        <v>5947296</v>
      </c>
      <c r="L13" s="134">
        <v>6632000</v>
      </c>
      <c r="M13" s="134">
        <v>7323000</v>
      </c>
      <c r="N13" s="134">
        <v>11800000</v>
      </c>
    </row>
    <row r="14" spans="1:14" ht="47.25">
      <c r="A14" s="147">
        <v>8</v>
      </c>
      <c r="B14" s="148" t="s">
        <v>28</v>
      </c>
      <c r="C14" s="149" t="s">
        <v>364</v>
      </c>
      <c r="D14" s="134">
        <v>4377.403268397277</v>
      </c>
      <c r="E14" s="134">
        <v>4283.226000000001</v>
      </c>
      <c r="F14" s="134">
        <v>4484.737490000001</v>
      </c>
      <c r="G14" s="134">
        <v>4689.543600000001</v>
      </c>
      <c r="H14" s="134">
        <v>5189.69064</v>
      </c>
      <c r="I14" s="134">
        <v>5448.0130425</v>
      </c>
      <c r="J14" s="134">
        <v>6350.566520979999</v>
      </c>
      <c r="K14" s="134">
        <v>7180.44664619825</v>
      </c>
      <c r="L14" s="134">
        <v>8317.719542592225</v>
      </c>
      <c r="M14" s="134">
        <v>9294.36</v>
      </c>
      <c r="N14" s="134">
        <v>12000</v>
      </c>
    </row>
    <row r="15" spans="1:14" ht="47.25">
      <c r="A15" s="147">
        <v>9</v>
      </c>
      <c r="B15" s="148" t="s">
        <v>29</v>
      </c>
      <c r="C15" s="149" t="s">
        <v>3</v>
      </c>
      <c r="D15" s="134">
        <v>7900</v>
      </c>
      <c r="E15" s="134">
        <v>9000</v>
      </c>
      <c r="F15" s="134">
        <v>9200</v>
      </c>
      <c r="G15" s="134">
        <v>9435.42</v>
      </c>
      <c r="H15" s="134">
        <v>14569.511</v>
      </c>
      <c r="I15" s="134">
        <v>25515.520000000004</v>
      </c>
      <c r="J15" s="134">
        <v>38537.7</v>
      </c>
      <c r="K15" s="134">
        <v>52604.48000000001</v>
      </c>
      <c r="L15" s="134">
        <v>59570.64000000001</v>
      </c>
      <c r="M15" s="134">
        <v>66626.5</v>
      </c>
      <c r="N15" s="134">
        <v>68373.8</v>
      </c>
    </row>
    <row r="16" spans="1:14" ht="47.25">
      <c r="A16" s="147">
        <v>10</v>
      </c>
      <c r="B16" s="148" t="s">
        <v>30</v>
      </c>
      <c r="C16" s="149" t="s">
        <v>3</v>
      </c>
      <c r="D16" s="134">
        <v>1360963.0429999998</v>
      </c>
      <c r="E16" s="134">
        <v>1502244.4</v>
      </c>
      <c r="F16" s="134">
        <v>1701609.2423999999</v>
      </c>
      <c r="G16" s="134">
        <v>1997766.257854</v>
      </c>
      <c r="H16" s="134">
        <v>1690129.212608329</v>
      </c>
      <c r="I16" s="134">
        <v>1744497.3738217712</v>
      </c>
      <c r="J16" s="134">
        <v>1783521.1301701549</v>
      </c>
      <c r="K16" s="134">
        <v>1804299.0345598804</v>
      </c>
      <c r="L16" s="134">
        <v>1820173.6724149315</v>
      </c>
      <c r="M16" s="134">
        <v>1843810.6734363558</v>
      </c>
      <c r="N16" s="134">
        <v>7885000</v>
      </c>
    </row>
    <row r="17" spans="1:14" ht="15.75">
      <c r="A17" s="147">
        <v>11</v>
      </c>
      <c r="B17" s="148" t="s">
        <v>31</v>
      </c>
      <c r="C17" s="149" t="s">
        <v>380</v>
      </c>
      <c r="D17" s="151">
        <v>2.03</v>
      </c>
      <c r="E17" s="151">
        <v>2.31</v>
      </c>
      <c r="F17" s="151">
        <v>2.81</v>
      </c>
      <c r="G17" s="151">
        <v>3.3</v>
      </c>
      <c r="H17" s="151">
        <v>3.87</v>
      </c>
      <c r="I17" s="151">
        <v>4.3</v>
      </c>
      <c r="J17" s="151">
        <v>4.73</v>
      </c>
      <c r="K17" s="151">
        <v>5.2</v>
      </c>
      <c r="L17" s="151">
        <v>5.73</v>
      </c>
      <c r="M17" s="151">
        <v>6.31</v>
      </c>
      <c r="N17" s="151">
        <v>8.59</v>
      </c>
    </row>
    <row r="18" spans="1:14" ht="15.75">
      <c r="A18" s="147">
        <v>12</v>
      </c>
      <c r="B18" s="148" t="s">
        <v>32</v>
      </c>
      <c r="C18" s="149" t="s">
        <v>33</v>
      </c>
      <c r="D18" s="134">
        <v>1222</v>
      </c>
      <c r="E18" s="134">
        <v>1351</v>
      </c>
      <c r="F18" s="134">
        <v>1656.3</v>
      </c>
      <c r="G18" s="134">
        <v>1879.9</v>
      </c>
      <c r="H18" s="134">
        <v>2208.9</v>
      </c>
      <c r="I18" s="134">
        <v>2429.8</v>
      </c>
      <c r="J18" s="134">
        <v>2672.8</v>
      </c>
      <c r="K18" s="134">
        <v>2940.1</v>
      </c>
      <c r="L18" s="134">
        <v>3234.1</v>
      </c>
      <c r="M18" s="134">
        <v>3557.5</v>
      </c>
      <c r="N18" s="134">
        <v>4851.1</v>
      </c>
    </row>
    <row r="19" spans="1:14" ht="15.75">
      <c r="A19" s="147">
        <v>13</v>
      </c>
      <c r="B19" s="148" t="s">
        <v>34</v>
      </c>
      <c r="C19" s="149" t="s">
        <v>54</v>
      </c>
      <c r="D19" s="134">
        <v>14.5</v>
      </c>
      <c r="E19" s="134">
        <v>17.1</v>
      </c>
      <c r="F19" s="134">
        <v>21</v>
      </c>
      <c r="G19" s="134">
        <v>23.8</v>
      </c>
      <c r="H19" s="134">
        <v>27.8</v>
      </c>
      <c r="I19" s="134">
        <v>30.6</v>
      </c>
      <c r="J19" s="134">
        <v>33.6</v>
      </c>
      <c r="K19" s="134">
        <v>37</v>
      </c>
      <c r="L19" s="134">
        <v>40.7</v>
      </c>
      <c r="M19" s="134">
        <v>44.8</v>
      </c>
      <c r="N19" s="134">
        <v>61</v>
      </c>
    </row>
    <row r="20" spans="1:14" ht="15.75">
      <c r="A20" s="147">
        <v>14</v>
      </c>
      <c r="B20" s="148" t="s">
        <v>35</v>
      </c>
      <c r="C20" s="149" t="s">
        <v>381</v>
      </c>
      <c r="D20" s="134">
        <v>1204</v>
      </c>
      <c r="E20" s="134">
        <v>1594</v>
      </c>
      <c r="F20" s="134">
        <v>2062.6</v>
      </c>
      <c r="G20" s="134">
        <v>2431.8</v>
      </c>
      <c r="H20" s="134">
        <v>2723.7</v>
      </c>
      <c r="I20" s="134">
        <v>3184</v>
      </c>
      <c r="J20" s="134">
        <v>3664.7</v>
      </c>
      <c r="K20" s="134">
        <v>4031.2</v>
      </c>
      <c r="L20" s="134">
        <v>4434.3</v>
      </c>
      <c r="M20" s="134">
        <v>4877.7</v>
      </c>
      <c r="N20" s="134">
        <v>6651.5</v>
      </c>
    </row>
    <row r="21" spans="1:14" ht="78.75">
      <c r="A21" s="147">
        <v>15</v>
      </c>
      <c r="B21" s="148" t="s">
        <v>36</v>
      </c>
      <c r="C21" s="149" t="s">
        <v>379</v>
      </c>
      <c r="D21" s="134">
        <v>3193</v>
      </c>
      <c r="E21" s="134">
        <v>3159</v>
      </c>
      <c r="F21" s="134">
        <v>3217</v>
      </c>
      <c r="G21" s="134">
        <v>3234</v>
      </c>
      <c r="H21" s="134">
        <v>3170</v>
      </c>
      <c r="I21" s="134">
        <v>3141</v>
      </c>
      <c r="J21" s="134">
        <v>3150</v>
      </c>
      <c r="K21" s="134">
        <v>3158</v>
      </c>
      <c r="L21" s="134">
        <v>3168</v>
      </c>
      <c r="M21" s="134">
        <v>3177</v>
      </c>
      <c r="N21" s="134">
        <v>4532</v>
      </c>
    </row>
    <row r="22" spans="1:14" ht="31.5">
      <c r="A22" s="147">
        <v>16</v>
      </c>
      <c r="B22" s="148" t="s">
        <v>382</v>
      </c>
      <c r="C22" s="149" t="s">
        <v>379</v>
      </c>
      <c r="D22" s="134">
        <v>17041</v>
      </c>
      <c r="E22" s="134">
        <v>20104.4</v>
      </c>
      <c r="F22" s="134">
        <v>16617.3</v>
      </c>
      <c r="G22" s="134">
        <v>23136.7</v>
      </c>
      <c r="H22" s="134">
        <v>25318.6</v>
      </c>
      <c r="I22" s="134">
        <v>29321.8</v>
      </c>
      <c r="J22" s="134">
        <v>33222.8</v>
      </c>
      <c r="K22" s="134">
        <v>39428.2</v>
      </c>
      <c r="L22" s="134">
        <v>44337.3</v>
      </c>
      <c r="M22" s="134">
        <v>44934.6</v>
      </c>
      <c r="N22" s="134">
        <v>91316.4</v>
      </c>
    </row>
    <row r="23" spans="1:14" ht="63">
      <c r="A23" s="147">
        <v>17</v>
      </c>
      <c r="B23" s="148" t="s">
        <v>37</v>
      </c>
      <c r="C23" s="149" t="s">
        <v>222</v>
      </c>
      <c r="D23" s="134">
        <v>423.2</v>
      </c>
      <c r="E23" s="134">
        <v>1348</v>
      </c>
      <c r="F23" s="134">
        <v>331</v>
      </c>
      <c r="G23" s="134">
        <v>736.6</v>
      </c>
      <c r="H23" s="134">
        <v>726.7</v>
      </c>
      <c r="I23" s="134">
        <v>2470.2</v>
      </c>
      <c r="J23" s="134">
        <v>2395.8</v>
      </c>
      <c r="K23" s="134">
        <v>1314.4</v>
      </c>
      <c r="L23" s="134">
        <v>1204.8</v>
      </c>
      <c r="M23" s="134">
        <v>1223.1</v>
      </c>
      <c r="N23" s="134">
        <v>1157.2</v>
      </c>
    </row>
    <row r="24" spans="1:14" ht="78.75">
      <c r="A24" s="147">
        <v>18</v>
      </c>
      <c r="B24" s="148" t="s">
        <v>38</v>
      </c>
      <c r="C24" s="149" t="s">
        <v>222</v>
      </c>
      <c r="D24" s="134">
        <f>408.245</f>
        <v>408.245</v>
      </c>
      <c r="E24" s="134">
        <f>1337.994</f>
        <v>1337.994</v>
      </c>
      <c r="F24" s="134">
        <f>325.981</f>
        <v>325.981</v>
      </c>
      <c r="G24" s="134">
        <f>579.24+60.4</f>
        <v>639.64</v>
      </c>
      <c r="H24" s="134">
        <f>216.282+60.4</f>
        <v>276.682</v>
      </c>
      <c r="I24" s="134">
        <v>1875</v>
      </c>
      <c r="J24" s="134">
        <v>1895.8</v>
      </c>
      <c r="K24" s="134">
        <v>810.5</v>
      </c>
      <c r="L24" s="134">
        <v>714.6</v>
      </c>
      <c r="M24" s="134">
        <v>726.7</v>
      </c>
      <c r="N24" s="134">
        <v>676.5</v>
      </c>
    </row>
    <row r="25" spans="1:14" ht="47.25">
      <c r="A25" s="147">
        <v>19</v>
      </c>
      <c r="B25" s="148" t="s">
        <v>39</v>
      </c>
      <c r="C25" s="149" t="s">
        <v>383</v>
      </c>
      <c r="D25" s="134">
        <v>327663.6</v>
      </c>
      <c r="E25" s="134">
        <v>328968.5</v>
      </c>
      <c r="F25" s="134">
        <v>319338.6</v>
      </c>
      <c r="G25" s="134">
        <v>285241.744</v>
      </c>
      <c r="H25" s="134">
        <v>280963.11783999996</v>
      </c>
      <c r="I25" s="134">
        <v>277601.07971019996</v>
      </c>
      <c r="J25" s="134">
        <v>274276.68602277996</v>
      </c>
      <c r="K25" s="134">
        <v>271265.2399599176</v>
      </c>
      <c r="L25" s="134">
        <v>271540.9160167874</v>
      </c>
      <c r="M25" s="134">
        <v>267467.8022765356</v>
      </c>
      <c r="N25" s="134">
        <v>263455.78524238756</v>
      </c>
    </row>
    <row r="26" spans="1:14" ht="19.5" customHeight="1">
      <c r="A26" s="147">
        <v>20</v>
      </c>
      <c r="B26" s="148" t="s">
        <v>40</v>
      </c>
      <c r="C26" s="149" t="s">
        <v>383</v>
      </c>
      <c r="D26" s="134">
        <v>339900</v>
      </c>
      <c r="E26" s="134">
        <v>340900</v>
      </c>
      <c r="F26" s="134">
        <v>328200</v>
      </c>
      <c r="G26" s="134">
        <v>292856</v>
      </c>
      <c r="H26" s="134">
        <v>288463.16</v>
      </c>
      <c r="I26" s="134">
        <v>284136.21259999997</v>
      </c>
      <c r="J26" s="134">
        <v>279874.169411</v>
      </c>
      <c r="K26" s="134">
        <v>275676.05686983495</v>
      </c>
      <c r="L26" s="134">
        <v>271540.9160167874</v>
      </c>
      <c r="M26" s="134">
        <v>267467.8022765356</v>
      </c>
      <c r="N26" s="134">
        <v>263455.78524238756</v>
      </c>
    </row>
    <row r="27" spans="1:14" ht="47.25">
      <c r="A27" s="147">
        <v>21</v>
      </c>
      <c r="B27" s="148" t="s">
        <v>41</v>
      </c>
      <c r="C27" s="149" t="s">
        <v>364</v>
      </c>
      <c r="D27" s="134">
        <f>D28*0.491</f>
        <v>1000.658</v>
      </c>
      <c r="E27" s="134">
        <f>E28*0.494</f>
        <v>1011.465</v>
      </c>
      <c r="F27" s="134">
        <f>F28*0.5</f>
        <v>1004.75</v>
      </c>
      <c r="G27" s="134">
        <f>G28*0.53</f>
        <v>1160.011</v>
      </c>
      <c r="H27" s="134">
        <f>H28*0.56</f>
        <v>1188.90184</v>
      </c>
      <c r="I27" s="134">
        <f>I28*0.6</f>
        <v>1235.6086979999998</v>
      </c>
      <c r="J27" s="134">
        <f>J28*0.7</f>
        <v>1398.2971765699997</v>
      </c>
      <c r="K27" s="134">
        <f>K28*0.8</f>
        <v>1518.1512202759998</v>
      </c>
      <c r="L27" s="134">
        <f>L28*0.9</f>
        <v>1622.5241166699745</v>
      </c>
      <c r="M27" s="134">
        <f>M28</f>
        <v>1712.664345373862</v>
      </c>
      <c r="N27" s="134">
        <f>N28</f>
        <v>1455.7646935677826</v>
      </c>
    </row>
    <row r="28" spans="1:14" ht="15.75">
      <c r="A28" s="147">
        <v>22</v>
      </c>
      <c r="B28" s="148" t="s">
        <v>42</v>
      </c>
      <c r="C28" s="149" t="s">
        <v>364</v>
      </c>
      <c r="D28" s="134">
        <v>2038</v>
      </c>
      <c r="E28" s="134">
        <v>2047.5</v>
      </c>
      <c r="F28" s="134">
        <v>2009.5</v>
      </c>
      <c r="G28" s="134">
        <v>2188.7</v>
      </c>
      <c r="H28" s="134">
        <f>G28*0.97</f>
        <v>2123.0389999999998</v>
      </c>
      <c r="I28" s="134">
        <f>H28*0.97</f>
        <v>2059.3478299999997</v>
      </c>
      <c r="J28" s="134">
        <f>I28*0.97</f>
        <v>1997.5673950999997</v>
      </c>
      <c r="K28" s="134">
        <f>J28*0.95</f>
        <v>1897.6890253449997</v>
      </c>
      <c r="L28" s="134">
        <f>K28*0.95</f>
        <v>1802.8045740777495</v>
      </c>
      <c r="M28" s="134">
        <f>L28*0.95</f>
        <v>1712.664345373862</v>
      </c>
      <c r="N28" s="134">
        <f>M28*0.85</f>
        <v>1455.7646935677826</v>
      </c>
    </row>
    <row r="29" spans="1:14" ht="47.25">
      <c r="A29" s="147">
        <v>23</v>
      </c>
      <c r="B29" s="148" t="s">
        <v>43</v>
      </c>
      <c r="C29" s="149" t="s">
        <v>365</v>
      </c>
      <c r="D29" s="134">
        <v>1948.0765</v>
      </c>
      <c r="E29" s="134">
        <v>2140.11</v>
      </c>
      <c r="F29" s="134">
        <v>2623.7120000000004</v>
      </c>
      <c r="G29" s="134">
        <v>3087</v>
      </c>
      <c r="H29" s="134">
        <v>3120</v>
      </c>
      <c r="I29" s="134">
        <v>3150</v>
      </c>
      <c r="J29" s="134">
        <v>3156</v>
      </c>
      <c r="K29" s="134">
        <v>3168</v>
      </c>
      <c r="L29" s="134">
        <v>3709.9999999999995</v>
      </c>
      <c r="M29" s="134">
        <v>4280</v>
      </c>
      <c r="N29" s="134">
        <v>6000</v>
      </c>
    </row>
    <row r="30" spans="1:14" ht="34.5" customHeight="1">
      <c r="A30" s="147">
        <v>24</v>
      </c>
      <c r="B30" s="148" t="s">
        <v>44</v>
      </c>
      <c r="C30" s="149" t="s">
        <v>365</v>
      </c>
      <c r="D30" s="134">
        <v>4377.7</v>
      </c>
      <c r="E30" s="134">
        <v>4755.8</v>
      </c>
      <c r="F30" s="134">
        <v>5045.6</v>
      </c>
      <c r="G30" s="134">
        <v>5145</v>
      </c>
      <c r="H30" s="134">
        <v>5200</v>
      </c>
      <c r="I30" s="134">
        <v>5250</v>
      </c>
      <c r="J30" s="134">
        <v>5260</v>
      </c>
      <c r="K30" s="134">
        <v>5280</v>
      </c>
      <c r="L30" s="134">
        <v>5300</v>
      </c>
      <c r="M30" s="134">
        <v>5350</v>
      </c>
      <c r="N30" s="134">
        <v>6000</v>
      </c>
    </row>
    <row r="31" spans="1:14" ht="47.25">
      <c r="A31" s="147">
        <v>25</v>
      </c>
      <c r="B31" s="148" t="s">
        <v>45</v>
      </c>
      <c r="C31" s="149" t="s">
        <v>365</v>
      </c>
      <c r="D31" s="134">
        <v>128762.94299999998</v>
      </c>
      <c r="E31" s="134">
        <v>130583.4</v>
      </c>
      <c r="F31" s="134">
        <v>135079.54239999998</v>
      </c>
      <c r="G31" s="134">
        <v>138674.257854</v>
      </c>
      <c r="H31" s="134">
        <v>142327.35966284</v>
      </c>
      <c r="I31" s="134">
        <v>146039.65608207142</v>
      </c>
      <c r="J31" s="134">
        <v>147962.43525305792</v>
      </c>
      <c r="K31" s="134">
        <v>163452.25269361242</v>
      </c>
      <c r="L31" s="134">
        <v>172161.92273000063</v>
      </c>
      <c r="M31" s="134">
        <v>190557.30625457608</v>
      </c>
      <c r="N31" s="152">
        <v>228668.76750549127</v>
      </c>
    </row>
    <row r="32" spans="1:14" ht="27" customHeight="1">
      <c r="A32" s="147">
        <v>26</v>
      </c>
      <c r="B32" s="148" t="s">
        <v>46</v>
      </c>
      <c r="C32" s="149" t="s">
        <v>365</v>
      </c>
      <c r="D32" s="134">
        <v>225899.9</v>
      </c>
      <c r="E32" s="134">
        <v>217639</v>
      </c>
      <c r="F32" s="134">
        <v>222170.3</v>
      </c>
      <c r="G32" s="134">
        <v>225708</v>
      </c>
      <c r="H32" s="134">
        <v>226635.92303</v>
      </c>
      <c r="I32" s="134">
        <v>228902.2822603</v>
      </c>
      <c r="J32" s="134">
        <v>231191.305082903</v>
      </c>
      <c r="K32" s="134">
        <v>233503.21813373204</v>
      </c>
      <c r="L32" s="134">
        <v>235838.25031506937</v>
      </c>
      <c r="M32" s="134">
        <v>238196.63281822007</v>
      </c>
      <c r="N32" s="134">
        <v>228668.76750549127</v>
      </c>
    </row>
    <row r="33" spans="1:14" ht="15.75">
      <c r="A33" s="147">
        <v>27</v>
      </c>
      <c r="B33" s="148" t="s">
        <v>384</v>
      </c>
      <c r="C33" s="149" t="s">
        <v>219</v>
      </c>
      <c r="D33" s="134">
        <v>51.421</v>
      </c>
      <c r="E33" s="134">
        <v>70.65</v>
      </c>
      <c r="F33" s="134">
        <v>79.142867</v>
      </c>
      <c r="G33" s="134">
        <v>84.035</v>
      </c>
      <c r="H33" s="134">
        <f>G33*(G33/F33)</f>
        <v>89.22953505083407</v>
      </c>
      <c r="I33" s="134">
        <f>H33*(H33/G33)</f>
        <v>94.74516481689804</v>
      </c>
      <c r="J33" s="134">
        <f>I33*(I33/H33)</f>
        <v>100.60173742995723</v>
      </c>
      <c r="K33" s="134">
        <f>J33*(J33/I33)</f>
        <v>106.82032791314542</v>
      </c>
      <c r="L33" s="134">
        <f>K33*(K33/J33)</f>
        <v>113.4233140199631</v>
      </c>
      <c r="M33" s="134">
        <v>120.4</v>
      </c>
      <c r="N33" s="134">
        <v>146.4</v>
      </c>
    </row>
    <row r="34" spans="1:14" ht="31.5">
      <c r="A34" s="147">
        <v>28</v>
      </c>
      <c r="B34" s="148" t="s">
        <v>385</v>
      </c>
      <c r="C34" s="149" t="s">
        <v>222</v>
      </c>
      <c r="D34" s="134">
        <f>(D17*D26+D18*D28+D19*D30+D20*D32/1000)/1000</f>
        <v>3515.8931295999996</v>
      </c>
      <c r="E34" s="134">
        <f aca="true" t="shared" si="0" ref="E34:N34">(E17*E26+E18*E28+E19*E30+E20*E32/1000)/1000</f>
        <v>3981.8922460000003</v>
      </c>
      <c r="F34" s="134">
        <f t="shared" si="0"/>
        <v>4814.78291078</v>
      </c>
      <c r="G34" s="134">
        <f t="shared" si="0"/>
        <v>5752.2896444</v>
      </c>
      <c r="H34" s="134">
        <f t="shared" si="0"/>
        <v>6567.781539856811</v>
      </c>
      <c r="I34" s="134">
        <f t="shared" si="0"/>
        <v>7115.063938230795</v>
      </c>
      <c r="J34" s="134">
        <f t="shared" si="0"/>
        <v>7686.885730674624</v>
      </c>
      <c r="K34" s="134">
        <f t="shared" si="0"/>
        <v>8149.569172080676</v>
      </c>
      <c r="L34" s="134">
        <f t="shared" si="0"/>
        <v>8647.867275173154</v>
      </c>
      <c r="M34" s="134">
        <f t="shared" si="0"/>
        <v>9182.056956929884</v>
      </c>
      <c r="N34" s="134">
        <f t="shared" si="0"/>
        <v>11212.135607261554</v>
      </c>
    </row>
    <row r="35" spans="1:14" ht="63">
      <c r="A35" s="147">
        <v>29</v>
      </c>
      <c r="B35" s="148" t="s">
        <v>386</v>
      </c>
      <c r="C35" s="149" t="s">
        <v>222</v>
      </c>
      <c r="D35" s="134">
        <v>3501</v>
      </c>
      <c r="E35" s="134">
        <v>5690</v>
      </c>
      <c r="F35" s="134">
        <v>6869</v>
      </c>
      <c r="G35" s="134">
        <v>8522</v>
      </c>
      <c r="H35" s="134">
        <v>10354</v>
      </c>
      <c r="I35" s="134">
        <f>H35*(I34/H34)</f>
        <v>11216.781735107434</v>
      </c>
      <c r="J35" s="134">
        <f>I35*(J34/I34)</f>
        <v>12118.249422945979</v>
      </c>
      <c r="K35" s="134">
        <f>J35*(K34/J34)</f>
        <v>12847.662288347516</v>
      </c>
      <c r="L35" s="134">
        <f>K35*(L34/K34)</f>
        <v>13633.221084435607</v>
      </c>
      <c r="M35" s="134">
        <f>L35*(M34/L34)</f>
        <v>14475.36236628917</v>
      </c>
      <c r="N35" s="134">
        <f>L35*(N34/L34)</f>
        <v>17675.748100494387</v>
      </c>
    </row>
    <row r="36" spans="1:14" ht="15.75">
      <c r="A36" s="147">
        <v>30</v>
      </c>
      <c r="B36" s="148" t="s">
        <v>47</v>
      </c>
      <c r="C36" s="149" t="s">
        <v>48</v>
      </c>
      <c r="D36" s="134">
        <v>1352</v>
      </c>
      <c r="E36" s="134">
        <v>1352</v>
      </c>
      <c r="F36" s="134">
        <v>1352</v>
      </c>
      <c r="G36" s="134">
        <v>1352</v>
      </c>
      <c r="H36" s="134">
        <v>1352</v>
      </c>
      <c r="I36" s="134">
        <v>1352</v>
      </c>
      <c r="J36" s="134">
        <v>1352</v>
      </c>
      <c r="K36" s="134">
        <v>1352</v>
      </c>
      <c r="L36" s="134">
        <v>1352</v>
      </c>
      <c r="M36" s="134">
        <v>1352</v>
      </c>
      <c r="N36" s="134">
        <v>1352</v>
      </c>
    </row>
    <row r="37" spans="1:14" ht="63">
      <c r="A37" s="147">
        <v>31</v>
      </c>
      <c r="B37" s="148" t="s">
        <v>387</v>
      </c>
      <c r="C37" s="149" t="s">
        <v>48</v>
      </c>
      <c r="D37" s="134">
        <v>0</v>
      </c>
      <c r="E37" s="134">
        <v>0</v>
      </c>
      <c r="F37" s="134">
        <v>0</v>
      </c>
      <c r="G37" s="134">
        <v>0</v>
      </c>
      <c r="H37" s="134">
        <v>14</v>
      </c>
      <c r="I37" s="134">
        <v>29</v>
      </c>
      <c r="J37" s="134">
        <v>50</v>
      </c>
      <c r="K37" s="134">
        <v>100</v>
      </c>
      <c r="L37" s="134">
        <v>150</v>
      </c>
      <c r="M37" s="134">
        <v>179</v>
      </c>
      <c r="N37" s="134">
        <v>179</v>
      </c>
    </row>
    <row r="38" spans="1:14" ht="47.25">
      <c r="A38" s="147">
        <v>32</v>
      </c>
      <c r="B38" s="148" t="s">
        <v>14</v>
      </c>
      <c r="C38" s="149" t="s">
        <v>48</v>
      </c>
      <c r="D38" s="134">
        <v>0</v>
      </c>
      <c r="E38" s="134">
        <v>0</v>
      </c>
      <c r="F38" s="134">
        <v>0</v>
      </c>
      <c r="G38" s="134">
        <v>0</v>
      </c>
      <c r="H38" s="134">
        <v>50</v>
      </c>
      <c r="I38" s="134">
        <v>240</v>
      </c>
      <c r="J38" s="134">
        <v>280</v>
      </c>
      <c r="K38" s="134">
        <v>320</v>
      </c>
      <c r="L38" s="134">
        <v>360</v>
      </c>
      <c r="M38" s="134">
        <v>400</v>
      </c>
      <c r="N38" s="134">
        <v>488</v>
      </c>
    </row>
    <row r="39" spans="1:14" ht="31.5">
      <c r="A39" s="147">
        <v>33</v>
      </c>
      <c r="B39" s="148" t="s">
        <v>49</v>
      </c>
      <c r="C39" s="149" t="s">
        <v>48</v>
      </c>
      <c r="D39" s="134">
        <v>51</v>
      </c>
      <c r="E39" s="134">
        <v>488</v>
      </c>
      <c r="F39" s="134">
        <v>488</v>
      </c>
      <c r="G39" s="134">
        <v>488</v>
      </c>
      <c r="H39" s="134">
        <v>488</v>
      </c>
      <c r="I39" s="134">
        <v>488</v>
      </c>
      <c r="J39" s="134">
        <v>488</v>
      </c>
      <c r="K39" s="134">
        <v>488</v>
      </c>
      <c r="L39" s="134">
        <v>488</v>
      </c>
      <c r="M39" s="134">
        <v>488</v>
      </c>
      <c r="N39" s="134">
        <v>488</v>
      </c>
    </row>
    <row r="40" spans="1:14" ht="47.25">
      <c r="A40" s="147">
        <v>34</v>
      </c>
      <c r="B40" s="148" t="s">
        <v>220</v>
      </c>
      <c r="C40" s="149" t="s">
        <v>48</v>
      </c>
      <c r="D40" s="134">
        <v>0</v>
      </c>
      <c r="E40" s="134">
        <v>0</v>
      </c>
      <c r="F40" s="134">
        <v>0</v>
      </c>
      <c r="G40" s="134">
        <v>0</v>
      </c>
      <c r="H40" s="134">
        <v>40</v>
      </c>
      <c r="I40" s="134">
        <v>120</v>
      </c>
      <c r="J40" s="134">
        <v>200</v>
      </c>
      <c r="K40" s="134">
        <v>240</v>
      </c>
      <c r="L40" s="134">
        <v>300</v>
      </c>
      <c r="M40" s="134">
        <v>340</v>
      </c>
      <c r="N40" s="134">
        <v>488</v>
      </c>
    </row>
    <row r="41" spans="1:14" ht="31.5">
      <c r="A41" s="147">
        <v>35</v>
      </c>
      <c r="B41" s="148" t="s">
        <v>50</v>
      </c>
      <c r="C41" s="149" t="s">
        <v>222</v>
      </c>
      <c r="D41" s="134">
        <v>16568.574</v>
      </c>
      <c r="E41" s="153">
        <v>22684.247</v>
      </c>
      <c r="F41" s="134">
        <v>26827.984</v>
      </c>
      <c r="G41" s="134">
        <f aca="true" t="shared" si="1" ref="G41:M41">F41*1.06</f>
        <v>28437.663040000003</v>
      </c>
      <c r="H41" s="134">
        <f t="shared" si="1"/>
        <v>30143.922822400003</v>
      </c>
      <c r="I41" s="134">
        <f t="shared" si="1"/>
        <v>31952.558191744007</v>
      </c>
      <c r="J41" s="134">
        <f t="shared" si="1"/>
        <v>33869.71168324865</v>
      </c>
      <c r="K41" s="134">
        <f t="shared" si="1"/>
        <v>35901.89438424357</v>
      </c>
      <c r="L41" s="134">
        <f t="shared" si="1"/>
        <v>38056.008047298186</v>
      </c>
      <c r="M41" s="134">
        <f t="shared" si="1"/>
        <v>40339.36853013608</v>
      </c>
      <c r="N41" s="134">
        <f>L41*1.3</f>
        <v>49472.81046148764</v>
      </c>
    </row>
    <row r="42" spans="1:14" ht="63">
      <c r="A42" s="147">
        <v>36</v>
      </c>
      <c r="B42" s="148" t="s">
        <v>51</v>
      </c>
      <c r="C42" s="149" t="s">
        <v>222</v>
      </c>
      <c r="D42" s="153">
        <v>0</v>
      </c>
      <c r="E42" s="153">
        <v>0</v>
      </c>
      <c r="F42" s="153">
        <v>0</v>
      </c>
      <c r="G42" s="134">
        <v>0</v>
      </c>
      <c r="H42" s="134">
        <f>H41*0.35</f>
        <v>10550.37298784</v>
      </c>
      <c r="I42" s="134">
        <f>I41*0.4</f>
        <v>12781.023276697604</v>
      </c>
      <c r="J42" s="134">
        <f>J41*0.45</f>
        <v>15241.370257461893</v>
      </c>
      <c r="K42" s="134">
        <f>K41*0.5</f>
        <v>17950.947192121785</v>
      </c>
      <c r="L42" s="134">
        <f>L41*0.55</f>
        <v>20930.804426014005</v>
      </c>
      <c r="M42" s="134">
        <f>M41*0.6</f>
        <v>24203.62111808165</v>
      </c>
      <c r="N42" s="134">
        <f>N41*1</f>
        <v>49472.81046148764</v>
      </c>
    </row>
    <row r="43" spans="1:14" ht="63">
      <c r="A43" s="147">
        <v>37</v>
      </c>
      <c r="B43" s="148" t="s">
        <v>388</v>
      </c>
      <c r="C43" s="149" t="s">
        <v>389</v>
      </c>
      <c r="D43" s="134">
        <v>959.0871</v>
      </c>
      <c r="E43" s="134">
        <v>1197.0277</v>
      </c>
      <c r="F43" s="134">
        <v>1902.7082</v>
      </c>
      <c r="G43" s="134">
        <f aca="true" t="shared" si="2" ref="G43:M43">F43*(G44/F44)*1.11</f>
        <v>2114.4549860910342</v>
      </c>
      <c r="H43" s="134">
        <f t="shared" si="2"/>
        <v>2353.0323943430917</v>
      </c>
      <c r="I43" s="134">
        <f t="shared" si="2"/>
        <v>2618.5119270789</v>
      </c>
      <c r="J43" s="134">
        <f t="shared" si="2"/>
        <v>2921.3022910324908</v>
      </c>
      <c r="K43" s="134">
        <f t="shared" si="2"/>
        <v>3259.022540738217</v>
      </c>
      <c r="L43" s="134">
        <f t="shared" si="2"/>
        <v>3635.6934876577093</v>
      </c>
      <c r="M43" s="134">
        <f t="shared" si="2"/>
        <v>4075.9759690130586</v>
      </c>
      <c r="N43" s="134">
        <f>L43*(N44/M44)*1.3</f>
        <v>4913.585753121558</v>
      </c>
    </row>
    <row r="44" spans="1:14" ht="63">
      <c r="A44" s="147">
        <v>38</v>
      </c>
      <c r="B44" s="148" t="s">
        <v>52</v>
      </c>
      <c r="C44" s="149" t="s">
        <v>390</v>
      </c>
      <c r="D44" s="134">
        <v>211.689</v>
      </c>
      <c r="E44" s="134">
        <v>220.617</v>
      </c>
      <c r="F44" s="134">
        <v>195.773</v>
      </c>
      <c r="G44" s="134">
        <v>196</v>
      </c>
      <c r="H44" s="134">
        <v>196.5</v>
      </c>
      <c r="I44" s="134">
        <v>197</v>
      </c>
      <c r="J44" s="134">
        <v>198</v>
      </c>
      <c r="K44" s="134">
        <v>199</v>
      </c>
      <c r="L44" s="134">
        <v>200</v>
      </c>
      <c r="M44" s="134">
        <v>202</v>
      </c>
      <c r="N44" s="134">
        <v>210</v>
      </c>
    </row>
    <row r="45" spans="1:14" ht="47.25">
      <c r="A45" s="147">
        <v>39</v>
      </c>
      <c r="B45" s="148" t="s">
        <v>68</v>
      </c>
      <c r="C45" s="149" t="s">
        <v>362</v>
      </c>
      <c r="D45" s="134">
        <v>203845.19417501602</v>
      </c>
      <c r="E45" s="134">
        <v>175247.44006179005</v>
      </c>
      <c r="F45" s="134">
        <v>213259.232510783</v>
      </c>
      <c r="G45" s="134">
        <v>226061.32621203398</v>
      </c>
      <c r="H45" s="134">
        <v>231458.68005663797</v>
      </c>
      <c r="I45" s="134">
        <v>236923.30276144703</v>
      </c>
      <c r="J45" s="134">
        <v>242455.92336832895</v>
      </c>
      <c r="K45" s="134">
        <v>248057.27844843094</v>
      </c>
      <c r="L45" s="134">
        <v>253728.11217848002</v>
      </c>
      <c r="M45" s="134">
        <v>259469.17641785752</v>
      </c>
      <c r="N45" s="154">
        <v>290936.367433188</v>
      </c>
    </row>
    <row r="46" spans="1:14" ht="78.75">
      <c r="A46" s="147">
        <v>40</v>
      </c>
      <c r="B46" s="148" t="s">
        <v>67</v>
      </c>
      <c r="C46" s="149" t="s">
        <v>362</v>
      </c>
      <c r="D46" s="134">
        <v>187537.57864101476</v>
      </c>
      <c r="E46" s="134">
        <v>161227.64485684686</v>
      </c>
      <c r="F46" s="134">
        <v>198331.0862350282</v>
      </c>
      <c r="G46" s="134">
        <v>212497.64663931192</v>
      </c>
      <c r="H46" s="134">
        <v>225440.7543751654</v>
      </c>
      <c r="I46" s="134">
        <v>231474.06679793374</v>
      </c>
      <c r="J46" s="134">
        <v>237606.80490096236</v>
      </c>
      <c r="K46" s="134">
        <v>244088.36199325603</v>
      </c>
      <c r="L46" s="134">
        <v>253728.11217848002</v>
      </c>
      <c r="M46" s="134">
        <v>259469.17641785752</v>
      </c>
      <c r="N46" s="134">
        <v>290936.367433188</v>
      </c>
    </row>
    <row r="47" spans="1:14" ht="31.5">
      <c r="A47" s="147">
        <v>41</v>
      </c>
      <c r="B47" s="148" t="s">
        <v>66</v>
      </c>
      <c r="C47" s="149" t="s">
        <v>362</v>
      </c>
      <c r="D47" s="134">
        <v>535754.805824984</v>
      </c>
      <c r="E47" s="134">
        <v>539852.55993821</v>
      </c>
      <c r="F47" s="134">
        <v>542140.767489217</v>
      </c>
      <c r="G47" s="134">
        <v>544438.673787966</v>
      </c>
      <c r="H47" s="134">
        <v>546746.319943362</v>
      </c>
      <c r="I47" s="134">
        <v>549063.747238553</v>
      </c>
      <c r="J47" s="134">
        <v>551390.997131671</v>
      </c>
      <c r="K47" s="134">
        <v>553728.111256569</v>
      </c>
      <c r="L47" s="134">
        <v>556075.13142357</v>
      </c>
      <c r="M47" s="134">
        <v>558432.099620213</v>
      </c>
      <c r="N47" s="154">
        <v>567859.972406786</v>
      </c>
    </row>
    <row r="48" spans="1:14" ht="78.75">
      <c r="A48" s="147">
        <v>42</v>
      </c>
      <c r="B48" s="148" t="s">
        <v>53</v>
      </c>
      <c r="C48" s="149" t="s">
        <v>362</v>
      </c>
      <c r="D48" s="41">
        <v>53575.4805824984</v>
      </c>
      <c r="E48" s="41">
        <v>48586.73039443889</v>
      </c>
      <c r="F48" s="41">
        <v>46136.179313332366</v>
      </c>
      <c r="G48" s="41">
        <v>44099.53257682525</v>
      </c>
      <c r="H48" s="41">
        <v>88200</v>
      </c>
      <c r="I48" s="41">
        <v>132300</v>
      </c>
      <c r="J48" s="41">
        <v>264300</v>
      </c>
      <c r="K48" s="41">
        <v>544868.4614764639</v>
      </c>
      <c r="L48" s="41">
        <v>556075.13142357</v>
      </c>
      <c r="M48" s="41">
        <v>558432.099620213</v>
      </c>
      <c r="N48" s="41">
        <v>567859.972406786</v>
      </c>
    </row>
    <row r="49" spans="1:14" ht="94.5">
      <c r="A49" s="147">
        <v>43</v>
      </c>
      <c r="B49" s="148" t="s">
        <v>221</v>
      </c>
      <c r="C49" s="149" t="s">
        <v>362</v>
      </c>
      <c r="D49" s="134">
        <v>482179.32524248556</v>
      </c>
      <c r="E49" s="134">
        <v>491265.82954377105</v>
      </c>
      <c r="F49" s="134">
        <v>496004.5881758846</v>
      </c>
      <c r="G49" s="134">
        <v>500339.1412111408</v>
      </c>
      <c r="H49" s="134">
        <v>508474.077547326</v>
      </c>
      <c r="I49" s="134">
        <v>516119.92240424</v>
      </c>
      <c r="J49" s="41">
        <v>540363.1771890377</v>
      </c>
      <c r="K49" s="41">
        <v>544868.4614764639</v>
      </c>
      <c r="L49" s="41">
        <v>556075.13142357</v>
      </c>
      <c r="M49" s="41">
        <v>558432.099620213</v>
      </c>
      <c r="N49" s="134">
        <v>567859.972406786</v>
      </c>
    </row>
    <row r="50" spans="1:14" ht="47.25">
      <c r="A50" s="147">
        <v>44</v>
      </c>
      <c r="B50" s="148" t="s">
        <v>65</v>
      </c>
      <c r="C50" s="149" t="s">
        <v>364</v>
      </c>
      <c r="D50" s="134">
        <v>1962.7053679455594</v>
      </c>
      <c r="E50" s="134">
        <v>1950</v>
      </c>
      <c r="F50" s="134">
        <v>1948</v>
      </c>
      <c r="G50" s="134">
        <v>1930</v>
      </c>
      <c r="H50" s="134">
        <v>1936</v>
      </c>
      <c r="I50" s="134">
        <v>1930</v>
      </c>
      <c r="J50" s="134">
        <v>1928</v>
      </c>
      <c r="K50" s="134">
        <v>1920</v>
      </c>
      <c r="L50" s="134">
        <v>1914</v>
      </c>
      <c r="M50" s="134">
        <v>1912</v>
      </c>
      <c r="N50" s="154">
        <v>1900</v>
      </c>
    </row>
    <row r="51" spans="1:14" ht="63">
      <c r="A51" s="147">
        <v>45</v>
      </c>
      <c r="B51" s="148" t="s">
        <v>64</v>
      </c>
      <c r="C51" s="149" t="s">
        <v>364</v>
      </c>
      <c r="D51" s="134">
        <v>98.13526839727797</v>
      </c>
      <c r="E51" s="134">
        <v>97.5</v>
      </c>
      <c r="F51" s="134">
        <v>97.4</v>
      </c>
      <c r="G51" s="134">
        <v>96.5</v>
      </c>
      <c r="H51" s="134">
        <v>135.52</v>
      </c>
      <c r="I51" s="134">
        <v>173.7</v>
      </c>
      <c r="J51" s="134">
        <v>212.08</v>
      </c>
      <c r="K51" s="134">
        <v>249.60000000000002</v>
      </c>
      <c r="L51" s="134">
        <v>382.8</v>
      </c>
      <c r="M51" s="134">
        <v>630.96</v>
      </c>
      <c r="N51" s="134">
        <v>1900</v>
      </c>
    </row>
    <row r="52" spans="1:14" ht="31.5">
      <c r="A52" s="147">
        <v>46</v>
      </c>
      <c r="B52" s="148" t="s">
        <v>63</v>
      </c>
      <c r="C52" s="149" t="s">
        <v>364</v>
      </c>
      <c r="D52" s="134">
        <v>3433.5</v>
      </c>
      <c r="E52" s="134">
        <v>3358.9</v>
      </c>
      <c r="F52" s="134">
        <v>3359.9</v>
      </c>
      <c r="G52" s="134">
        <v>3314.6</v>
      </c>
      <c r="H52" s="134">
        <v>3294</v>
      </c>
      <c r="I52" s="134">
        <v>3280</v>
      </c>
      <c r="J52" s="134">
        <v>3272</v>
      </c>
      <c r="K52" s="134">
        <v>3240</v>
      </c>
      <c r="L52" s="134">
        <v>3236</v>
      </c>
      <c r="M52" s="134">
        <v>3226</v>
      </c>
      <c r="N52" s="154">
        <v>3100</v>
      </c>
    </row>
    <row r="53" spans="1:14" ht="78.75">
      <c r="A53" s="147">
        <v>47</v>
      </c>
      <c r="B53" s="148" t="s">
        <v>10</v>
      </c>
      <c r="C53" s="149" t="s">
        <v>364</v>
      </c>
      <c r="D53" s="41">
        <v>343.35</v>
      </c>
      <c r="E53" s="41">
        <v>302.301</v>
      </c>
      <c r="F53" s="41">
        <v>285.92749</v>
      </c>
      <c r="G53" s="41">
        <v>268.4826</v>
      </c>
      <c r="H53" s="41">
        <v>494.09999999999997</v>
      </c>
      <c r="I53" s="41">
        <v>656</v>
      </c>
      <c r="J53" s="41">
        <v>1145.1999999999998</v>
      </c>
      <c r="K53" s="41">
        <v>1620</v>
      </c>
      <c r="L53" s="41">
        <v>2265.2</v>
      </c>
      <c r="M53" s="41">
        <v>3226</v>
      </c>
      <c r="N53" s="41">
        <v>3100</v>
      </c>
    </row>
    <row r="54" spans="1:14" ht="47.25">
      <c r="A54" s="147">
        <v>48</v>
      </c>
      <c r="B54" s="148" t="s">
        <v>62</v>
      </c>
      <c r="C54" s="149" t="s">
        <v>365</v>
      </c>
      <c r="D54" s="134">
        <v>15195.936808921566</v>
      </c>
      <c r="E54" s="134">
        <v>14144.720081681022</v>
      </c>
      <c r="F54" s="134">
        <v>14261.935356555381</v>
      </c>
      <c r="G54" s="134">
        <v>14380.121977669505</v>
      </c>
      <c r="H54" s="134">
        <v>14200</v>
      </c>
      <c r="I54" s="134">
        <v>14220</v>
      </c>
      <c r="J54" s="134">
        <v>14300</v>
      </c>
      <c r="K54" s="134">
        <v>14418.502057377167</v>
      </c>
      <c r="L54" s="134">
        <v>14537.986124376896</v>
      </c>
      <c r="M54" s="134">
        <v>14658.460338772657</v>
      </c>
      <c r="N54" s="154">
        <v>15140.357196355699</v>
      </c>
    </row>
    <row r="55" spans="1:14" ht="78.75">
      <c r="A55" s="147">
        <v>49</v>
      </c>
      <c r="B55" s="148" t="s">
        <v>61</v>
      </c>
      <c r="C55" s="149" t="s">
        <v>365</v>
      </c>
      <c r="D55" s="134">
        <v>1300</v>
      </c>
      <c r="E55" s="134">
        <v>1350</v>
      </c>
      <c r="F55" s="134">
        <v>1400</v>
      </c>
      <c r="G55" s="134">
        <v>1410</v>
      </c>
      <c r="H55" s="134">
        <v>1420</v>
      </c>
      <c r="I55" s="134">
        <v>1430</v>
      </c>
      <c r="J55" s="134">
        <v>1440</v>
      </c>
      <c r="K55" s="134">
        <v>2500</v>
      </c>
      <c r="L55" s="134">
        <v>5000</v>
      </c>
      <c r="M55" s="41">
        <v>12459.691287956757</v>
      </c>
      <c r="N55" s="41">
        <v>13626.32147672013</v>
      </c>
    </row>
    <row r="56" spans="1:14" ht="47.25">
      <c r="A56" s="147">
        <v>50</v>
      </c>
      <c r="B56" s="148" t="s">
        <v>69</v>
      </c>
      <c r="C56" s="149" t="s">
        <v>365</v>
      </c>
      <c r="D56" s="134">
        <v>25751.763191078433</v>
      </c>
      <c r="E56" s="134">
        <v>23874.07991831898</v>
      </c>
      <c r="F56" s="134">
        <v>24071.92100841043</v>
      </c>
      <c r="G56" s="134">
        <v>24500</v>
      </c>
      <c r="H56" s="134">
        <v>25000</v>
      </c>
      <c r="I56" s="134">
        <v>25200</v>
      </c>
      <c r="J56" s="134">
        <v>25400</v>
      </c>
      <c r="K56" s="134">
        <v>25000</v>
      </c>
      <c r="L56" s="134">
        <v>25207.171428981062</v>
      </c>
      <c r="M56" s="134">
        <v>25416.059658001566</v>
      </c>
      <c r="N56" s="134">
        <v>26251.612574083585</v>
      </c>
    </row>
    <row r="57" spans="1:14" ht="94.5">
      <c r="A57" s="147">
        <v>51</v>
      </c>
      <c r="B57" s="148" t="s">
        <v>60</v>
      </c>
      <c r="C57" s="149" t="s">
        <v>365</v>
      </c>
      <c r="D57" s="134">
        <v>1802.6234233754906</v>
      </c>
      <c r="E57" s="134">
        <v>2387.407991831898</v>
      </c>
      <c r="F57" s="134">
        <v>2500</v>
      </c>
      <c r="G57" s="134">
        <v>2750</v>
      </c>
      <c r="H57" s="134">
        <v>2900</v>
      </c>
      <c r="I57" s="134">
        <v>3000</v>
      </c>
      <c r="J57" s="134">
        <v>3500</v>
      </c>
      <c r="K57" s="134">
        <v>7000</v>
      </c>
      <c r="L57" s="134">
        <v>22686.454286082957</v>
      </c>
      <c r="M57" s="134">
        <v>22874.45369220141</v>
      </c>
      <c r="N57" s="134">
        <v>26251.612574083585</v>
      </c>
    </row>
    <row r="58" spans="1:14" ht="94.5">
      <c r="A58" s="147">
        <v>52</v>
      </c>
      <c r="B58" s="148" t="s">
        <v>59</v>
      </c>
      <c r="C58" s="149" t="s">
        <v>365</v>
      </c>
      <c r="D58" s="134">
        <v>1982.8857657130397</v>
      </c>
      <c r="E58" s="134">
        <v>2626.148791015088</v>
      </c>
      <c r="F58" s="134">
        <v>2750</v>
      </c>
      <c r="G58" s="134">
        <v>3025.0000000000005</v>
      </c>
      <c r="H58" s="134">
        <v>3190.0000000000005</v>
      </c>
      <c r="I58" s="134">
        <v>3300.0000000000005</v>
      </c>
      <c r="J58" s="134">
        <v>3850.0000000000005</v>
      </c>
      <c r="K58" s="134">
        <v>7700.000000000001</v>
      </c>
      <c r="L58" s="134">
        <v>24000</v>
      </c>
      <c r="M58" s="134">
        <v>25000</v>
      </c>
      <c r="N58" s="134">
        <v>26251.612574083585</v>
      </c>
    </row>
    <row r="59" spans="1:14" ht="47.25">
      <c r="A59" s="147">
        <v>53</v>
      </c>
      <c r="B59" s="148" t="s">
        <v>58</v>
      </c>
      <c r="C59" s="149" t="s">
        <v>365</v>
      </c>
      <c r="D59" s="134">
        <v>58053.44623488287</v>
      </c>
      <c r="E59" s="134">
        <v>61414.57184702795</v>
      </c>
      <c r="F59" s="134">
        <v>68862.803685873</v>
      </c>
      <c r="G59" s="134">
        <v>74403.977043633</v>
      </c>
      <c r="H59" s="134">
        <v>80638.033427685</v>
      </c>
      <c r="I59" s="134">
        <v>82764.91386068301</v>
      </c>
      <c r="J59" s="134">
        <v>83884.558876547</v>
      </c>
      <c r="K59" s="134">
        <v>83996.908516408</v>
      </c>
      <c r="L59" s="134">
        <v>84101.90232452599</v>
      </c>
      <c r="M59" s="134">
        <v>85199.479344177</v>
      </c>
      <c r="N59" s="154">
        <v>87589.78742277701</v>
      </c>
    </row>
    <row r="60" spans="1:14" ht="78.75">
      <c r="A60" s="147">
        <v>54</v>
      </c>
      <c r="B60" s="148" t="s">
        <v>57</v>
      </c>
      <c r="C60" s="149" t="s">
        <v>365</v>
      </c>
      <c r="D60" s="134">
        <v>580.5344623488286</v>
      </c>
      <c r="E60" s="134">
        <v>3044.8735923513977</v>
      </c>
      <c r="F60" s="134">
        <v>4512.16963980666</v>
      </c>
      <c r="G60" s="134">
        <v>5191.09510994213</v>
      </c>
      <c r="H60" s="134">
        <v>7484.799661555</v>
      </c>
      <c r="I60" s="134">
        <v>18882.389119518124</v>
      </c>
      <c r="J60" s="134">
        <v>25385.15304130241</v>
      </c>
      <c r="K60" s="134">
        <v>31994.39522315149</v>
      </c>
      <c r="L60" s="134">
        <v>38711.43384751451</v>
      </c>
      <c r="M60" s="134">
        <v>45537.601631944715</v>
      </c>
      <c r="N60" s="134">
        <v>87589.78742277701</v>
      </c>
    </row>
    <row r="61" spans="1:14" ht="47.25">
      <c r="A61" s="147">
        <v>55</v>
      </c>
      <c r="B61" s="148" t="s">
        <v>70</v>
      </c>
      <c r="C61" s="149" t="s">
        <v>365</v>
      </c>
      <c r="D61" s="134">
        <v>98380.15376511714</v>
      </c>
      <c r="E61" s="134">
        <v>102785.42815297205</v>
      </c>
      <c r="F61" s="134">
        <v>117637.196314127</v>
      </c>
      <c r="G61" s="134">
        <v>129496.022956367</v>
      </c>
      <c r="H61" s="134">
        <v>135361.966572315</v>
      </c>
      <c r="I61" s="134">
        <v>139235.086139317</v>
      </c>
      <c r="J61" s="134">
        <v>141115.441123453</v>
      </c>
      <c r="K61" s="134">
        <v>142003.091483592</v>
      </c>
      <c r="L61" s="134">
        <v>143898.097675474</v>
      </c>
      <c r="M61" s="134">
        <v>144800.520655823</v>
      </c>
      <c r="N61" s="134">
        <v>152410.212577223</v>
      </c>
    </row>
    <row r="62" spans="1:14" ht="94.5">
      <c r="A62" s="147">
        <v>56</v>
      </c>
      <c r="B62" s="148" t="s">
        <v>55</v>
      </c>
      <c r="C62" s="149" t="s">
        <v>365</v>
      </c>
      <c r="D62" s="134">
        <v>983.8015376511714</v>
      </c>
      <c r="E62" s="134">
        <v>5139.271407648603</v>
      </c>
      <c r="F62" s="134">
        <v>8290.975705130184</v>
      </c>
      <c r="G62" s="134">
        <v>8750</v>
      </c>
      <c r="H62" s="134">
        <v>9482.576991508366</v>
      </c>
      <c r="I62" s="134">
        <v>21247.01722786337</v>
      </c>
      <c r="J62" s="134">
        <v>42846.17644938127</v>
      </c>
      <c r="K62" s="134">
        <v>64801.85489015548</v>
      </c>
      <c r="L62" s="134">
        <v>87118.4781403789</v>
      </c>
      <c r="M62" s="134">
        <v>144800.520655823</v>
      </c>
      <c r="N62" s="134">
        <v>152410.212577223</v>
      </c>
    </row>
    <row r="63" spans="1:14" ht="28.5" customHeight="1">
      <c r="A63" s="147">
        <v>57</v>
      </c>
      <c r="B63" s="148" t="s">
        <v>56</v>
      </c>
      <c r="C63" s="149" t="s">
        <v>48</v>
      </c>
      <c r="D63" s="134">
        <v>130996</v>
      </c>
      <c r="E63" s="134">
        <v>131669</v>
      </c>
      <c r="F63" s="134">
        <f>E63+(E63-D63)</f>
        <v>132342</v>
      </c>
      <c r="G63" s="134">
        <f aca="true" t="shared" si="3" ref="G63:M63">F63+(F63-E63)</f>
        <v>133015</v>
      </c>
      <c r="H63" s="134">
        <f t="shared" si="3"/>
        <v>133688</v>
      </c>
      <c r="I63" s="134">
        <f t="shared" si="3"/>
        <v>134361</v>
      </c>
      <c r="J63" s="134">
        <f t="shared" si="3"/>
        <v>135034</v>
      </c>
      <c r="K63" s="134">
        <f t="shared" si="3"/>
        <v>135707</v>
      </c>
      <c r="L63" s="134">
        <f t="shared" si="3"/>
        <v>136380</v>
      </c>
      <c r="M63" s="134">
        <f t="shared" si="3"/>
        <v>137053</v>
      </c>
      <c r="N63" s="134">
        <f>L63+(L63-K63)*5</f>
        <v>139745</v>
      </c>
    </row>
    <row r="64" spans="1:14" ht="47.25">
      <c r="A64" s="147">
        <v>58</v>
      </c>
      <c r="B64" s="148" t="s">
        <v>15</v>
      </c>
      <c r="C64" s="149" t="s">
        <v>48</v>
      </c>
      <c r="D64" s="134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100</v>
      </c>
      <c r="J64" s="134">
        <v>500</v>
      </c>
      <c r="K64" s="134">
        <v>1000</v>
      </c>
      <c r="L64" s="134">
        <v>2000</v>
      </c>
      <c r="M64" s="134">
        <v>4000</v>
      </c>
      <c r="N64" s="134">
        <v>10000</v>
      </c>
    </row>
    <row r="65" spans="1:14" ht="141.75">
      <c r="A65" s="147">
        <v>59</v>
      </c>
      <c r="B65" s="148" t="s">
        <v>16</v>
      </c>
      <c r="C65" s="149" t="s">
        <v>48</v>
      </c>
      <c r="D65" s="134">
        <v>16</v>
      </c>
      <c r="E65" s="134">
        <v>20</v>
      </c>
      <c r="F65" s="134">
        <v>30</v>
      </c>
      <c r="G65" s="134">
        <v>35</v>
      </c>
      <c r="H65" s="134">
        <v>40</v>
      </c>
      <c r="I65" s="134">
        <v>50</v>
      </c>
      <c r="J65" s="134">
        <v>60</v>
      </c>
      <c r="K65" s="134">
        <v>70</v>
      </c>
      <c r="L65" s="134">
        <v>80</v>
      </c>
      <c r="M65" s="134">
        <v>90</v>
      </c>
      <c r="N65" s="134">
        <v>150</v>
      </c>
    </row>
    <row r="66" spans="1:14" ht="173.25">
      <c r="A66" s="155">
        <v>60</v>
      </c>
      <c r="B66" s="156" t="s">
        <v>17</v>
      </c>
      <c r="C66" s="157" t="s">
        <v>48</v>
      </c>
      <c r="D66" s="158">
        <v>0</v>
      </c>
      <c r="E66" s="158">
        <v>0</v>
      </c>
      <c r="F66" s="158">
        <v>0</v>
      </c>
      <c r="G66" s="158">
        <v>5</v>
      </c>
      <c r="H66" s="158">
        <v>25</v>
      </c>
      <c r="I66" s="158">
        <v>40</v>
      </c>
      <c r="J66" s="158">
        <v>50</v>
      </c>
      <c r="K66" s="158">
        <v>60</v>
      </c>
      <c r="L66" s="158">
        <v>70</v>
      </c>
      <c r="M66" s="158">
        <v>80</v>
      </c>
      <c r="N66" s="158">
        <v>100</v>
      </c>
    </row>
    <row r="67" spans="1:14" ht="63">
      <c r="A67" s="159">
        <v>61</v>
      </c>
      <c r="B67" s="160" t="s">
        <v>188</v>
      </c>
      <c r="C67" s="161" t="s">
        <v>189</v>
      </c>
      <c r="D67" s="162">
        <v>648616.54</v>
      </c>
      <c r="E67" s="162">
        <v>735851.22</v>
      </c>
      <c r="F67" s="162">
        <v>764677.9696</v>
      </c>
      <c r="G67" s="162">
        <v>741737.630512</v>
      </c>
      <c r="H67" s="162">
        <v>759523.2995009187</v>
      </c>
      <c r="I67" s="162">
        <v>788237.6994281413</v>
      </c>
      <c r="J67" s="162">
        <v>780954.6829594967</v>
      </c>
      <c r="K67" s="162">
        <v>757426.6975077972</v>
      </c>
      <c r="L67" s="162">
        <v>736028.1201525249</v>
      </c>
      <c r="M67" s="162">
        <v>730280.5066698065</v>
      </c>
      <c r="N67" s="162">
        <v>620738.4306693355</v>
      </c>
    </row>
    <row r="68" spans="1:14" ht="63">
      <c r="A68" s="159">
        <v>62</v>
      </c>
      <c r="B68" s="160" t="s">
        <v>190</v>
      </c>
      <c r="C68" s="161" t="s">
        <v>191</v>
      </c>
      <c r="D68" s="162">
        <v>330818.95</v>
      </c>
      <c r="E68" s="162">
        <v>322633.67000000004</v>
      </c>
      <c r="F68" s="162">
        <v>358528.76</v>
      </c>
      <c r="G68" s="163">
        <v>363428.76</v>
      </c>
      <c r="H68" s="163">
        <v>372143.194</v>
      </c>
      <c r="I68" s="163">
        <v>673000</v>
      </c>
      <c r="J68" s="163">
        <v>873000</v>
      </c>
      <c r="K68" s="163">
        <v>1073000</v>
      </c>
      <c r="L68" s="163">
        <v>1273000</v>
      </c>
      <c r="M68" s="163">
        <v>1616000</v>
      </c>
      <c r="N68" s="163">
        <v>1616000</v>
      </c>
    </row>
    <row r="69" spans="1:14" ht="63">
      <c r="A69" s="159">
        <v>63</v>
      </c>
      <c r="B69" s="160" t="s">
        <v>192</v>
      </c>
      <c r="C69" s="161" t="s">
        <v>189</v>
      </c>
      <c r="D69" s="162">
        <v>149458.64852459016</v>
      </c>
      <c r="E69" s="162">
        <v>176024.9385245902</v>
      </c>
      <c r="F69" s="162">
        <v>146335.32848888886</v>
      </c>
      <c r="G69" s="163">
        <v>131701.79563999997</v>
      </c>
      <c r="H69" s="163">
        <v>118531.61607599998</v>
      </c>
      <c r="I69" s="163">
        <v>89868.73208834809</v>
      </c>
      <c r="J69" s="163">
        <v>70808.55561149801</v>
      </c>
      <c r="K69" s="163">
        <v>51748.37913464795</v>
      </c>
      <c r="L69" s="163">
        <v>32688.20265779788</v>
      </c>
      <c r="M69" s="163">
        <v>0</v>
      </c>
      <c r="N69" s="163">
        <v>0</v>
      </c>
    </row>
    <row r="70" spans="1:14" ht="63">
      <c r="A70" s="159">
        <v>64</v>
      </c>
      <c r="B70" s="160" t="s">
        <v>193</v>
      </c>
      <c r="C70" s="161" t="s">
        <v>191</v>
      </c>
      <c r="D70" s="162">
        <v>1163085.01</v>
      </c>
      <c r="E70" s="162">
        <v>1249525.11</v>
      </c>
      <c r="F70" s="162">
        <v>1252476.52</v>
      </c>
      <c r="G70" s="163">
        <v>1252476.52</v>
      </c>
      <c r="H70" s="163">
        <v>1243762</v>
      </c>
      <c r="I70" s="163">
        <v>943000</v>
      </c>
      <c r="J70" s="163">
        <v>743000</v>
      </c>
      <c r="K70" s="163">
        <v>543000</v>
      </c>
      <c r="L70" s="163">
        <v>343000</v>
      </c>
      <c r="M70" s="163">
        <v>0</v>
      </c>
      <c r="N70" s="163">
        <v>0</v>
      </c>
    </row>
    <row r="71" spans="1:14" ht="78.75">
      <c r="A71" s="159">
        <v>65</v>
      </c>
      <c r="B71" s="160" t="s">
        <v>194</v>
      </c>
      <c r="C71" s="161" t="s">
        <v>195</v>
      </c>
      <c r="D71" s="162">
        <v>306859</v>
      </c>
      <c r="E71" s="162">
        <v>323429.58566807245</v>
      </c>
      <c r="F71" s="162">
        <v>306353.2710337711</v>
      </c>
      <c r="G71" s="162">
        <v>302837.67096144136</v>
      </c>
      <c r="H71" s="162">
        <v>302090.1180640705</v>
      </c>
      <c r="I71" s="162">
        <v>529892.481087046</v>
      </c>
      <c r="J71" s="162">
        <v>666743.3163585755</v>
      </c>
      <c r="K71" s="162">
        <v>794906.198280835</v>
      </c>
      <c r="L71" s="162">
        <v>914779.2383030362</v>
      </c>
      <c r="M71" s="162">
        <v>1131149.3</v>
      </c>
      <c r="N71" s="162">
        <v>987070.5119662612</v>
      </c>
    </row>
    <row r="72" spans="1:14" ht="78.75">
      <c r="A72" s="159">
        <v>66</v>
      </c>
      <c r="B72" s="160" t="s">
        <v>196</v>
      </c>
      <c r="C72" s="161" t="s">
        <v>197</v>
      </c>
      <c r="D72" s="162">
        <v>4130</v>
      </c>
      <c r="E72" s="162">
        <v>3738</v>
      </c>
      <c r="F72" s="162">
        <v>4050</v>
      </c>
      <c r="G72" s="163">
        <v>4076</v>
      </c>
      <c r="H72" s="163">
        <v>4206</v>
      </c>
      <c r="I72" s="163">
        <v>7745</v>
      </c>
      <c r="J72" s="163">
        <v>10337</v>
      </c>
      <c r="K72" s="163">
        <v>12652</v>
      </c>
      <c r="L72" s="163">
        <v>15412</v>
      </c>
      <c r="M72" s="163">
        <v>20464</v>
      </c>
      <c r="N72" s="163">
        <v>20464</v>
      </c>
    </row>
    <row r="73" spans="1:14" ht="78.75">
      <c r="A73" s="159">
        <v>67</v>
      </c>
      <c r="B73" s="160" t="s">
        <v>198</v>
      </c>
      <c r="C73" s="161" t="s">
        <v>195</v>
      </c>
      <c r="D73" s="162">
        <v>1078955</v>
      </c>
      <c r="E73" s="162">
        <v>1252607.604808118</v>
      </c>
      <c r="F73" s="162">
        <v>1070207.8092563467</v>
      </c>
      <c r="G73" s="163">
        <v>1043662.7862106762</v>
      </c>
      <c r="H73" s="163">
        <v>1009633.4300382356</v>
      </c>
      <c r="I73" s="163">
        <v>742479.3605721908</v>
      </c>
      <c r="J73" s="163">
        <v>567457.370050884</v>
      </c>
      <c r="K73" s="163">
        <v>402268.4675363406</v>
      </c>
      <c r="L73" s="163">
        <v>246480.18753962405</v>
      </c>
      <c r="M73" s="163">
        <v>0</v>
      </c>
      <c r="N73" s="163">
        <v>0</v>
      </c>
    </row>
    <row r="74" spans="1:14" ht="78.75">
      <c r="A74" s="159">
        <v>68</v>
      </c>
      <c r="B74" s="160" t="s">
        <v>199</v>
      </c>
      <c r="C74" s="161" t="s">
        <v>197</v>
      </c>
      <c r="D74" s="162">
        <v>14522</v>
      </c>
      <c r="E74" s="162">
        <v>14477</v>
      </c>
      <c r="F74" s="162">
        <v>14150</v>
      </c>
      <c r="G74" s="163">
        <v>14048</v>
      </c>
      <c r="H74" s="163">
        <v>14058</v>
      </c>
      <c r="I74" s="163">
        <v>10852</v>
      </c>
      <c r="J74" s="163">
        <v>8798</v>
      </c>
      <c r="K74" s="163">
        <v>6402</v>
      </c>
      <c r="L74" s="163">
        <v>4153</v>
      </c>
      <c r="M74" s="163">
        <v>0</v>
      </c>
      <c r="N74" s="163">
        <v>0</v>
      </c>
    </row>
    <row r="75" spans="1:14" ht="78.75">
      <c r="A75" s="159">
        <v>69</v>
      </c>
      <c r="B75" s="160" t="s">
        <v>200</v>
      </c>
      <c r="C75" s="161" t="s">
        <v>391</v>
      </c>
      <c r="D75" s="162">
        <v>129110786.98828408</v>
      </c>
      <c r="E75" s="162">
        <v>131628308</v>
      </c>
      <c r="F75" s="162">
        <v>127046220</v>
      </c>
      <c r="G75" s="162">
        <v>114799552</v>
      </c>
      <c r="H75" s="162">
        <v>116917666.46247862</v>
      </c>
      <c r="I75" s="162">
        <v>119338416.07278876</v>
      </c>
      <c r="J75" s="162">
        <v>118145031.91206084</v>
      </c>
      <c r="K75" s="162">
        <v>116960598.13253845</v>
      </c>
      <c r="L75" s="162">
        <v>115785114.73422147</v>
      </c>
      <c r="M75" s="162">
        <v>114048338.01320814</v>
      </c>
      <c r="N75" s="162">
        <v>112337612.94301002</v>
      </c>
    </row>
    <row r="76" spans="1:14" ht="78.75">
      <c r="A76" s="159">
        <v>70</v>
      </c>
      <c r="B76" s="160" t="s">
        <v>201</v>
      </c>
      <c r="C76" s="161" t="s">
        <v>197</v>
      </c>
      <c r="D76" s="162">
        <v>17920</v>
      </c>
      <c r="E76" s="162">
        <v>17480</v>
      </c>
      <c r="F76" s="162">
        <v>17485</v>
      </c>
      <c r="G76" s="163">
        <v>17424</v>
      </c>
      <c r="H76" s="163">
        <v>17574</v>
      </c>
      <c r="I76" s="163">
        <v>17957</v>
      </c>
      <c r="J76" s="163">
        <v>18635</v>
      </c>
      <c r="K76" s="163">
        <v>18804</v>
      </c>
      <c r="L76" s="163">
        <v>18965</v>
      </c>
      <c r="M76" s="163">
        <v>20464</v>
      </c>
      <c r="N76" s="163">
        <v>20464</v>
      </c>
    </row>
    <row r="77" spans="1:14" ht="78.75">
      <c r="A77" s="159">
        <v>71</v>
      </c>
      <c r="B77" s="160" t="s">
        <v>202</v>
      </c>
      <c r="C77" s="161" t="s">
        <v>391</v>
      </c>
      <c r="D77" s="162">
        <v>3993117.123348996</v>
      </c>
      <c r="E77" s="162">
        <v>2686292</v>
      </c>
      <c r="F77" s="162">
        <v>2592780</v>
      </c>
      <c r="G77" s="163">
        <v>2342848</v>
      </c>
      <c r="H77" s="163">
        <v>2386074.8257648796</v>
      </c>
      <c r="I77" s="163">
        <v>1817336.2853724211</v>
      </c>
      <c r="J77" s="163">
        <v>1193384.1607278883</v>
      </c>
      <c r="K77" s="163">
        <v>587741.6991584897</v>
      </c>
      <c r="L77" s="163">
        <v>0</v>
      </c>
      <c r="M77" s="163">
        <v>0</v>
      </c>
      <c r="N77" s="163">
        <v>0</v>
      </c>
    </row>
    <row r="78" spans="1:14" ht="78.75">
      <c r="A78" s="159">
        <v>72</v>
      </c>
      <c r="B78" s="160" t="s">
        <v>203</v>
      </c>
      <c r="C78" s="161" t="s">
        <v>197</v>
      </c>
      <c r="D78" s="162">
        <v>732</v>
      </c>
      <c r="E78" s="162">
        <v>735</v>
      </c>
      <c r="F78" s="162">
        <v>715</v>
      </c>
      <c r="G78" s="163">
        <v>700</v>
      </c>
      <c r="H78" s="163">
        <v>690</v>
      </c>
      <c r="I78" s="163">
        <v>640</v>
      </c>
      <c r="J78" s="163">
        <v>500</v>
      </c>
      <c r="K78" s="163">
        <v>250</v>
      </c>
      <c r="L78" s="163">
        <v>0</v>
      </c>
      <c r="M78" s="163">
        <v>0</v>
      </c>
      <c r="N78" s="163">
        <v>0</v>
      </c>
    </row>
    <row r="79" spans="1:14" ht="31.5">
      <c r="A79" s="159">
        <v>73</v>
      </c>
      <c r="B79" s="160" t="s">
        <v>204</v>
      </c>
      <c r="C79" s="161" t="s">
        <v>392</v>
      </c>
      <c r="D79" s="170">
        <v>0.384</v>
      </c>
      <c r="E79" s="170">
        <v>0.399</v>
      </c>
      <c r="F79" s="170">
        <v>0.4</v>
      </c>
      <c r="G79" s="171">
        <v>0.3985</v>
      </c>
      <c r="H79" s="171">
        <v>0.3972</v>
      </c>
      <c r="I79" s="171">
        <v>0.3953</v>
      </c>
      <c r="J79" s="171">
        <v>0.3948</v>
      </c>
      <c r="K79" s="171">
        <v>0.394</v>
      </c>
      <c r="L79" s="171">
        <v>0.392</v>
      </c>
      <c r="M79" s="171">
        <v>0.3901</v>
      </c>
      <c r="N79" s="171">
        <v>0.284</v>
      </c>
    </row>
    <row r="80" spans="1:14" ht="31.5">
      <c r="A80" s="159">
        <v>74</v>
      </c>
      <c r="B80" s="160" t="s">
        <v>205</v>
      </c>
      <c r="C80" s="161" t="s">
        <v>206</v>
      </c>
      <c r="D80" s="170">
        <v>0.172</v>
      </c>
      <c r="E80" s="170">
        <v>0.2</v>
      </c>
      <c r="F80" s="170">
        <v>0.163</v>
      </c>
      <c r="G80" s="171">
        <v>0.1882</v>
      </c>
      <c r="H80" s="171">
        <v>0.188</v>
      </c>
      <c r="I80" s="171">
        <v>0.1879</v>
      </c>
      <c r="J80" s="171">
        <v>0.1875</v>
      </c>
      <c r="K80" s="171">
        <v>0.187</v>
      </c>
      <c r="L80" s="171">
        <v>0.1865</v>
      </c>
      <c r="M80" s="171">
        <v>0.185</v>
      </c>
      <c r="N80" s="171">
        <v>0.1672</v>
      </c>
    </row>
    <row r="81" spans="1:14" ht="31.5">
      <c r="A81" s="159">
        <v>75</v>
      </c>
      <c r="B81" s="160" t="s">
        <v>207</v>
      </c>
      <c r="C81" s="161" t="s">
        <v>391</v>
      </c>
      <c r="D81" s="162">
        <v>882500000</v>
      </c>
      <c r="E81" s="162">
        <v>898300000</v>
      </c>
      <c r="F81" s="162">
        <v>959100000</v>
      </c>
      <c r="G81" s="162">
        <v>964600000</v>
      </c>
      <c r="H81" s="162">
        <v>1021695773.0942552</v>
      </c>
      <c r="I81" s="162">
        <v>1049664694.8827105</v>
      </c>
      <c r="J81" s="162">
        <v>1068005685.0507976</v>
      </c>
      <c r="K81" s="162">
        <v>1084755350.8490696</v>
      </c>
      <c r="L81" s="162">
        <v>1125332593.0836647</v>
      </c>
      <c r="M81" s="162">
        <v>1152874161.8639889</v>
      </c>
      <c r="N81" s="162">
        <v>2608819186.6726284</v>
      </c>
    </row>
    <row r="82" spans="1:14" ht="15.75">
      <c r="A82" s="159">
        <v>76</v>
      </c>
      <c r="B82" s="160" t="s">
        <v>208</v>
      </c>
      <c r="C82" s="161" t="s">
        <v>209</v>
      </c>
      <c r="D82" s="162">
        <v>363.2</v>
      </c>
      <c r="E82" s="162">
        <v>428.3</v>
      </c>
      <c r="F82" s="162">
        <v>479.5</v>
      </c>
      <c r="G82" s="162">
        <v>479.7</v>
      </c>
      <c r="H82" s="162">
        <v>465.28596143998004</v>
      </c>
      <c r="I82" s="162">
        <v>457.51791670703517</v>
      </c>
      <c r="J82" s="162">
        <v>455.12774909689824</v>
      </c>
      <c r="K82" s="162">
        <v>453.0363524380285</v>
      </c>
      <c r="L82" s="162">
        <v>451.2536857621347</v>
      </c>
      <c r="M82" s="162">
        <v>449.35815006020675</v>
      </c>
      <c r="N82" s="162">
        <v>497.9515854451841</v>
      </c>
    </row>
    <row r="83" spans="1:14" ht="15.75">
      <c r="A83" s="159">
        <v>77</v>
      </c>
      <c r="B83" s="160" t="s">
        <v>210</v>
      </c>
      <c r="C83" s="161" t="s">
        <v>195</v>
      </c>
      <c r="D83" s="162">
        <v>24050900</v>
      </c>
      <c r="E83" s="162">
        <v>22313500</v>
      </c>
      <c r="F83" s="162">
        <v>23976398</v>
      </c>
      <c r="G83" s="162">
        <v>23469273</v>
      </c>
      <c r="H83" s="162">
        <v>22962148</v>
      </c>
      <c r="I83" s="162">
        <v>22455023</v>
      </c>
      <c r="J83" s="162">
        <v>21947898</v>
      </c>
      <c r="K83" s="162">
        <v>21440773</v>
      </c>
      <c r="L83" s="162">
        <v>20933648</v>
      </c>
      <c r="M83" s="162">
        <v>20426523</v>
      </c>
      <c r="N83" s="162">
        <v>16735125</v>
      </c>
    </row>
    <row r="84" spans="1:14" ht="31.5">
      <c r="A84" s="164">
        <v>78</v>
      </c>
      <c r="B84" s="165" t="s">
        <v>211</v>
      </c>
      <c r="C84" s="166" t="s">
        <v>391</v>
      </c>
      <c r="D84" s="167">
        <v>133911832</v>
      </c>
      <c r="E84" s="167">
        <v>125794923</v>
      </c>
      <c r="F84" s="167">
        <v>127823526</v>
      </c>
      <c r="G84" s="167">
        <v>124964550.47727273</v>
      </c>
      <c r="H84" s="167">
        <v>122105574.95454547</v>
      </c>
      <c r="I84" s="167">
        <v>119246599.4318182</v>
      </c>
      <c r="J84" s="167">
        <v>116387623.90909094</v>
      </c>
      <c r="K84" s="167">
        <v>113528648.38636367</v>
      </c>
      <c r="L84" s="167">
        <v>110669672.8636364</v>
      </c>
      <c r="M84" s="167">
        <v>107810697.34090914</v>
      </c>
      <c r="N84" s="167">
        <v>94346192.25</v>
      </c>
    </row>
    <row r="86" spans="1:14" ht="12.75">
      <c r="A86" s="230" t="s">
        <v>216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1:14" ht="12.7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</sheetData>
  <sheetProtection/>
  <mergeCells count="8">
    <mergeCell ref="A86:N87"/>
    <mergeCell ref="J1:N1"/>
    <mergeCell ref="J2:N2"/>
    <mergeCell ref="A3:N3"/>
    <mergeCell ref="A4:A5"/>
    <mergeCell ref="B4:B5"/>
    <mergeCell ref="C4:C5"/>
    <mergeCell ref="D4:N4"/>
  </mergeCells>
  <printOptions/>
  <pageMargins left="0.2362204724409449" right="0.15748031496062992" top="0.48" bottom="0.15748031496062992" header="0.31496062992125984" footer="0.31496062992125984"/>
  <pageSetup fitToHeight="10" fitToWidth="1" horizontalDpi="600" verticalDpi="600" orientation="landscape" paperSize="9" scale="6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60" zoomScalePageLayoutView="0" workbookViewId="0" topLeftCell="A58">
      <selection activeCell="B46" sqref="B46"/>
    </sheetView>
  </sheetViews>
  <sheetFormatPr defaultColWidth="51.375" defaultRowHeight="12.75"/>
  <cols>
    <col min="1" max="1" width="7.00390625" style="7" bestFit="1" customWidth="1"/>
    <col min="2" max="2" width="95.625" style="26" bestFit="1" customWidth="1"/>
    <col min="3" max="3" width="13.75390625" style="7" customWidth="1"/>
    <col min="4" max="4" width="20.875" style="25" customWidth="1"/>
    <col min="5" max="5" width="6.25390625" style="7" bestFit="1" customWidth="1"/>
    <col min="6" max="6" width="10.125" style="7" customWidth="1"/>
    <col min="7" max="7" width="11.00390625" style="7" customWidth="1"/>
    <col min="8" max="8" width="11.125" style="7" customWidth="1"/>
    <col min="9" max="15" width="10.125" style="7" bestFit="1" customWidth="1"/>
    <col min="16" max="16384" width="51.375" style="7" customWidth="1"/>
  </cols>
  <sheetData>
    <row r="1" spans="1:15" ht="18.75">
      <c r="A1" s="2"/>
      <c r="B1" s="2"/>
      <c r="C1" s="2"/>
      <c r="D1" s="3"/>
      <c r="E1" s="2"/>
      <c r="F1" s="2"/>
      <c r="G1" s="2"/>
      <c r="H1" s="214"/>
      <c r="I1" s="214"/>
      <c r="J1" s="214"/>
      <c r="K1" s="214"/>
      <c r="L1" s="214"/>
      <c r="M1" s="214"/>
      <c r="N1" s="214"/>
      <c r="O1" s="214"/>
    </row>
    <row r="2" spans="1:15" ht="18.75">
      <c r="A2" s="2"/>
      <c r="B2" s="2"/>
      <c r="C2" s="2"/>
      <c r="D2" s="3"/>
      <c r="E2" s="2"/>
      <c r="F2" s="2"/>
      <c r="G2" s="2"/>
      <c r="H2" s="85"/>
      <c r="I2" s="85"/>
      <c r="J2" s="85"/>
      <c r="K2" s="214" t="s">
        <v>393</v>
      </c>
      <c r="L2" s="214"/>
      <c r="M2" s="214"/>
      <c r="N2" s="214"/>
      <c r="O2" s="214"/>
    </row>
    <row r="3" spans="1:15" ht="73.5" customHeight="1">
      <c r="A3" s="2"/>
      <c r="B3" s="2"/>
      <c r="C3" s="2"/>
      <c r="D3" s="3"/>
      <c r="E3" s="2"/>
      <c r="F3" s="2"/>
      <c r="G3" s="2"/>
      <c r="H3" s="85"/>
      <c r="I3" s="85"/>
      <c r="J3" s="85"/>
      <c r="K3" s="215" t="s">
        <v>319</v>
      </c>
      <c r="L3" s="215"/>
      <c r="M3" s="215"/>
      <c r="N3" s="215"/>
      <c r="O3" s="215"/>
    </row>
    <row r="4" spans="1:15" ht="19.5" thickBot="1">
      <c r="A4" s="216" t="s">
        <v>394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s="8" customFormat="1" ht="13.5" thickBot="1">
      <c r="A5" s="212" t="s">
        <v>71</v>
      </c>
      <c r="B5" s="212" t="s">
        <v>72</v>
      </c>
      <c r="C5" s="212" t="s">
        <v>359</v>
      </c>
      <c r="D5" s="212" t="s">
        <v>186</v>
      </c>
      <c r="E5" s="224" t="s">
        <v>73</v>
      </c>
      <c r="F5" s="225"/>
      <c r="G5" s="225"/>
      <c r="H5" s="225"/>
      <c r="I5" s="225"/>
      <c r="J5" s="225"/>
      <c r="K5" s="225"/>
      <c r="L5" s="225"/>
      <c r="M5" s="225"/>
      <c r="N5" s="225"/>
      <c r="O5" s="226"/>
    </row>
    <row r="6" spans="1:15" s="8" customFormat="1" ht="13.5" thickBot="1">
      <c r="A6" s="213"/>
      <c r="B6" s="213"/>
      <c r="C6" s="213"/>
      <c r="D6" s="213"/>
      <c r="E6" s="9">
        <v>2007</v>
      </c>
      <c r="F6" s="9">
        <v>2008</v>
      </c>
      <c r="G6" s="9">
        <v>2009</v>
      </c>
      <c r="H6" s="9">
        <v>2010</v>
      </c>
      <c r="I6" s="9">
        <v>2011</v>
      </c>
      <c r="J6" s="9">
        <v>2012</v>
      </c>
      <c r="K6" s="9">
        <v>2013</v>
      </c>
      <c r="L6" s="9">
        <v>2014</v>
      </c>
      <c r="M6" s="9">
        <v>2015</v>
      </c>
      <c r="N6" s="9">
        <v>2016</v>
      </c>
      <c r="O6" s="9">
        <v>2020</v>
      </c>
    </row>
    <row r="7" spans="1:15" ht="13.5" thickBot="1">
      <c r="A7" s="10">
        <v>1</v>
      </c>
      <c r="B7" s="11">
        <v>2</v>
      </c>
      <c r="C7" s="11">
        <v>3</v>
      </c>
      <c r="D7" s="12"/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3">
        <v>13</v>
      </c>
      <c r="N7" s="56"/>
      <c r="O7" s="14">
        <v>18</v>
      </c>
    </row>
    <row r="8" spans="1:15" ht="15.75">
      <c r="A8" s="227" t="s">
        <v>74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</row>
    <row r="9" spans="1:15" ht="31.5">
      <c r="A9" s="84" t="s">
        <v>75</v>
      </c>
      <c r="B9" s="15" t="s">
        <v>76</v>
      </c>
      <c r="C9" s="84" t="s">
        <v>133</v>
      </c>
      <c r="D9" s="6" t="s">
        <v>146</v>
      </c>
      <c r="E9" s="16">
        <f>Приложение_№11!D8/Приложение_№11!D7</f>
        <v>37.615821501014196</v>
      </c>
      <c r="F9" s="16">
        <f>Приложение_№11!E8/Приложение_№11!E7</f>
        <v>33.68049044356293</v>
      </c>
      <c r="G9" s="16">
        <f>Приложение_№11!F8/Приложение_№11!F7</f>
        <v>32.50692225772099</v>
      </c>
      <c r="H9" s="16">
        <f>Приложение_№11!G8/Приложение_№11!G7</f>
        <v>34.123689727463315</v>
      </c>
      <c r="I9" s="16">
        <f>Приложение_№11!H8/Приложение_№11!H7</f>
        <v>31.817937520994292</v>
      </c>
      <c r="J9" s="16">
        <f>Приложение_№11!I8/Приложение_№11!I7</f>
        <v>30.82751937984496</v>
      </c>
      <c r="K9" s="16">
        <f>Приложение_№11!J8/Приложение_№11!J7</f>
        <v>27.749656387665198</v>
      </c>
      <c r="L9" s="16">
        <f>Приложение_№11!K8/Приложение_№11!K7</f>
        <v>26.673140633019674</v>
      </c>
      <c r="M9" s="16">
        <f>Приложение_№11!L8/Приложение_№11!L7</f>
        <v>23.57619072250509</v>
      </c>
      <c r="N9" s="16">
        <f>Приложение_№11!M8/Приложение_№11!M7</f>
        <v>20.84137403646738</v>
      </c>
      <c r="O9" s="16">
        <f>Приложение_№11!N8/Приложение_№11!N7</f>
        <v>21.27659574468085</v>
      </c>
    </row>
    <row r="10" spans="1:15" ht="57" customHeight="1">
      <c r="A10" s="84" t="s">
        <v>77</v>
      </c>
      <c r="B10" s="15" t="s">
        <v>134</v>
      </c>
      <c r="C10" s="84" t="s">
        <v>12</v>
      </c>
      <c r="D10" s="6" t="s">
        <v>147</v>
      </c>
      <c r="E10" s="4">
        <f>Приложение_№11!D13/Приложение_№11!D9</f>
        <v>0.964</v>
      </c>
      <c r="F10" s="4">
        <f>Приложение_№11!E13/Приложение_№11!E9</f>
        <v>0.965</v>
      </c>
      <c r="G10" s="4">
        <f>Приложение_№11!F13/Приложение_№11!F9</f>
        <v>0.9729643276140196</v>
      </c>
      <c r="H10" s="4">
        <f>Приложение_№11!G13/Приложение_№11!G9</f>
        <v>0.9719768494682834</v>
      </c>
      <c r="I10" s="4">
        <f>Приложение_№11!H13/Приложение_№11!H9</f>
        <v>0.974</v>
      </c>
      <c r="J10" s="4">
        <f>Приложение_№11!I13/Приложение_№11!I9</f>
        <v>0.977</v>
      </c>
      <c r="K10" s="4">
        <f>Приложение_№11!J13/Приложение_№11!J9</f>
        <v>1</v>
      </c>
      <c r="L10" s="4">
        <f>Приложение_№11!K13/Приложение_№11!K9</f>
        <v>1</v>
      </c>
      <c r="M10" s="4">
        <f>Приложение_№11!L13/Приложение_№11!L9</f>
        <v>1</v>
      </c>
      <c r="N10" s="4">
        <f>Приложение_№11!M13/Приложение_№11!M9</f>
        <v>1</v>
      </c>
      <c r="O10" s="4">
        <f>Приложение_№11!N13/Приложение_№11!N9</f>
        <v>1</v>
      </c>
    </row>
    <row r="11" spans="1:15" ht="46.5" customHeight="1">
      <c r="A11" s="84" t="s">
        <v>78</v>
      </c>
      <c r="B11" s="15" t="s">
        <v>135</v>
      </c>
      <c r="C11" s="84" t="s">
        <v>12</v>
      </c>
      <c r="D11" s="6" t="s">
        <v>148</v>
      </c>
      <c r="E11" s="4">
        <f>Приложение_№11!D14/Приложение_№11!D10</f>
        <v>0.3551271077612323</v>
      </c>
      <c r="F11" s="4">
        <f>Приложение_№11!E14/Приложение_№11!E10</f>
        <v>0.3637621021163842</v>
      </c>
      <c r="G11" s="4">
        <f>Приложение_№11!F14/Приложение_№11!F10</f>
        <v>0.38196585442714553</v>
      </c>
      <c r="H11" s="4">
        <f>Приложение_№11!G14/Приложение_№11!G10</f>
        <v>0.4024426613574537</v>
      </c>
      <c r="I11" s="4">
        <f>Приложение_№11!H14/Приложение_№11!H10</f>
        <v>0.46496404780437883</v>
      </c>
      <c r="J11" s="4">
        <f>Приложение_№11!I14/Приложение_№11!I10</f>
        <v>0.502421034874189</v>
      </c>
      <c r="K11" s="4">
        <f>Приложение_№11!J14/Приложение_№11!J10</f>
        <v>0.5915711010801339</v>
      </c>
      <c r="L11" s="4">
        <f>Приложение_№11!K14/Приложение_№11!K10</f>
        <v>0.6756328316498031</v>
      </c>
      <c r="M11" s="4">
        <f>Приложение_№11!L14/Приложение_№11!L10</f>
        <v>1</v>
      </c>
      <c r="N11" s="4">
        <f>Приложение_№11!M14/Приложение_№11!M10</f>
        <v>1</v>
      </c>
      <c r="O11" s="4">
        <f>Приложение_№11!N14/Приложение_№11!N10</f>
        <v>1</v>
      </c>
    </row>
    <row r="12" spans="1:15" ht="47.25">
      <c r="A12" s="84" t="s">
        <v>79</v>
      </c>
      <c r="B12" s="15" t="s">
        <v>136</v>
      </c>
      <c r="C12" s="84" t="s">
        <v>12</v>
      </c>
      <c r="D12" s="6" t="s">
        <v>149</v>
      </c>
      <c r="E12" s="4">
        <f>Приложение_№11!D15/Приложение_№11!D11</f>
        <v>0.14531167514931234</v>
      </c>
      <c r="F12" s="4">
        <f>Приложение_№11!E15/Приложение_№11!E11</f>
        <v>0.14713166812980938</v>
      </c>
      <c r="G12" s="4">
        <f>Приложение_№11!F15/Приложение_№11!F11</f>
        <v>0.14728695822013316</v>
      </c>
      <c r="H12" s="4">
        <f>Приложение_№11!G15/Приложение_№11!G11</f>
        <v>0.15</v>
      </c>
      <c r="I12" s="4">
        <f>Приложение_№11!H15/Приложение_№11!H11</f>
        <v>0.23</v>
      </c>
      <c r="J12" s="4">
        <f>Приложение_№11!I15/Приложение_№11!I11</f>
        <v>0.4</v>
      </c>
      <c r="K12" s="4">
        <f>Приложение_№11!J15/Приложение_№11!J11</f>
        <v>0.6102477189878112</v>
      </c>
      <c r="L12" s="4">
        <f>Приложение_№11!K15/Приложение_№11!K11</f>
        <v>0.841410467418719</v>
      </c>
      <c r="M12" s="4">
        <f>Приложение_№11!L15/Приложение_№11!L11</f>
        <v>1</v>
      </c>
      <c r="N12" s="4">
        <f>Приложение_№11!M15/Приложение_№11!M11</f>
        <v>1</v>
      </c>
      <c r="O12" s="4">
        <f>Приложение_№11!N15/Приложение_№11!N11</f>
        <v>1</v>
      </c>
    </row>
    <row r="13" spans="1:15" ht="47.25">
      <c r="A13" s="84" t="s">
        <v>80</v>
      </c>
      <c r="B13" s="15" t="s">
        <v>360</v>
      </c>
      <c r="C13" s="84" t="s">
        <v>12</v>
      </c>
      <c r="D13" s="6" t="s">
        <v>212</v>
      </c>
      <c r="E13" s="4">
        <f>Приложение_№11!D16/Приложение_№11!D12</f>
        <v>0.9333811418969891</v>
      </c>
      <c r="F13" s="4">
        <f>Приложение_№11!E16/Приложение_№11!E12</f>
        <v>0.9452239350657522</v>
      </c>
      <c r="G13" s="4">
        <f>Приложение_№11!F16/Приложение_№11!F12</f>
        <v>0.9513105844468048</v>
      </c>
      <c r="H13" s="4">
        <f>Приложение_№11!G16/Приложение_№11!G12</f>
        <v>0.9582531935216807</v>
      </c>
      <c r="I13" s="4">
        <f>Приложение_№11!H16/Приложение_№11!H12</f>
        <v>0.9524871683252957</v>
      </c>
      <c r="J13" s="4">
        <f>Приложение_№11!I16/Приложение_№11!I12</f>
        <v>0.9546544598884572</v>
      </c>
      <c r="K13" s="4">
        <f>Приложение_№11!J16/Приложение_№11!J12</f>
        <v>0.9858684085901894</v>
      </c>
      <c r="L13" s="4">
        <f>Приложение_№11!K16/Приложение_№11!K12</f>
        <v>1.0074279909092305</v>
      </c>
      <c r="M13" s="4">
        <f>Приложение_№11!L16/Приложение_№11!L12</f>
        <v>1</v>
      </c>
      <c r="N13" s="4">
        <f>Приложение_№11!M16/Приложение_№11!M12</f>
        <v>1</v>
      </c>
      <c r="O13" s="4">
        <f>Приложение_№11!N16/Приложение_№11!N12</f>
        <v>1</v>
      </c>
    </row>
    <row r="14" spans="1:15" ht="31.5">
      <c r="A14" s="84" t="s">
        <v>81</v>
      </c>
      <c r="B14" s="15" t="s">
        <v>82</v>
      </c>
      <c r="C14" s="84" t="s">
        <v>83</v>
      </c>
      <c r="D14" s="6" t="s">
        <v>150</v>
      </c>
      <c r="E14" s="17">
        <f>Приложение_№11!E21-Приложение_№11!D21</f>
        <v>-34</v>
      </c>
      <c r="F14" s="17">
        <f>Приложение_№11!F21-Приложение_№11!E21</f>
        <v>58</v>
      </c>
      <c r="G14" s="17">
        <f>Приложение_№11!G21-Приложение_№11!F21</f>
        <v>17</v>
      </c>
      <c r="H14" s="17">
        <f>Приложение_№11!H21-Приложение_№11!G21</f>
        <v>-64</v>
      </c>
      <c r="I14" s="17">
        <f>Приложение_№11!I21-Приложение_№11!H21</f>
        <v>371</v>
      </c>
      <c r="J14" s="17">
        <f>Приложение_№11!J21-Приложение_№11!I21</f>
        <v>309</v>
      </c>
      <c r="K14" s="17">
        <f>Приложение_№11!K21-Приложение_№11!J21</f>
        <v>308</v>
      </c>
      <c r="L14" s="17">
        <f>Приложение_№11!L21-Приложение_№11!K21</f>
        <v>310</v>
      </c>
      <c r="M14" s="17">
        <f>Приложение_№11!M21-Приложение_№11!L21</f>
        <v>309</v>
      </c>
      <c r="N14" s="17">
        <v>228.6</v>
      </c>
      <c r="O14" s="17">
        <v>216.6</v>
      </c>
    </row>
    <row r="15" spans="1:15" ht="47.25">
      <c r="A15" s="84" t="s">
        <v>84</v>
      </c>
      <c r="B15" s="15" t="s">
        <v>361</v>
      </c>
      <c r="C15" s="84" t="s">
        <v>12</v>
      </c>
      <c r="D15" s="6" t="s">
        <v>213</v>
      </c>
      <c r="E15" s="4">
        <f>Приложение_№11!D21/Приложение_№11!D22</f>
        <v>0.18737163312012206</v>
      </c>
      <c r="F15" s="4">
        <f>Приложение_№11!E21/Приложение_№11!E22</f>
        <v>0.1571297825351664</v>
      </c>
      <c r="G15" s="4">
        <f>Приложение_№11!F21/Приложение_№11!F22</f>
        <v>0.19359342372106178</v>
      </c>
      <c r="H15" s="4">
        <f>Приложение_№11!G21/Приложение_№11!G22</f>
        <v>0.13977792857235474</v>
      </c>
      <c r="I15" s="4">
        <f>Приложение_№11!H21/Приложение_№11!H22</f>
        <v>0.1252043951877276</v>
      </c>
      <c r="J15" s="4">
        <f>Приложение_№11!I21/Приложение_№11!I22</f>
        <v>0.11913814102779778</v>
      </c>
      <c r="K15" s="4">
        <f>Приложение_№11!J21/Приложение_№11!J22</f>
        <v>0.11349298996545096</v>
      </c>
      <c r="L15" s="4">
        <f>Приложение_№11!K21/Приложение_№11!K22</f>
        <v>0.10284900143958921</v>
      </c>
      <c r="M15" s="4">
        <f>Приложение_№11!L21/Приложение_№11!L22</f>
        <v>0.09790237371623649</v>
      </c>
      <c r="N15" s="4">
        <f>Приложение_№11!M21/Приложение_№11!M22</f>
        <v>0.10265479879487521</v>
      </c>
      <c r="O15" s="4">
        <f>Приложение_№11!N21/Приложение_№11!N22</f>
        <v>0.059924347136586786</v>
      </c>
    </row>
    <row r="16" spans="1:15" ht="64.5" customHeight="1">
      <c r="A16" s="84" t="s">
        <v>85</v>
      </c>
      <c r="B16" s="15" t="s">
        <v>187</v>
      </c>
      <c r="C16" s="84" t="s">
        <v>86</v>
      </c>
      <c r="D16" s="6" t="s">
        <v>214</v>
      </c>
      <c r="E16" s="4">
        <f>Приложение_№11!D24/Приложение_№11!D23</f>
        <v>0.9646620982986768</v>
      </c>
      <c r="F16" s="4">
        <f>Приложение_№11!E24/Приложение_№11!E23</f>
        <v>0.9925771513353115</v>
      </c>
      <c r="G16" s="4">
        <f>Приложение_№11!F24/Приложение_№11!F23</f>
        <v>0.9848368580060423</v>
      </c>
      <c r="H16" s="4">
        <f>Приложение_№11!G24/Приложение_№11!G23</f>
        <v>0.8683681781156666</v>
      </c>
      <c r="I16" s="4">
        <f>Приложение_№11!H24/Приложение_№11!H23</f>
        <v>0.3807375808449154</v>
      </c>
      <c r="J16" s="4">
        <f>Приложение_№11!I24/Приложение_№11!I23</f>
        <v>0.6906077348066298</v>
      </c>
      <c r="K16" s="4">
        <f>Приложение_№11!J24/Приложение_№11!J23</f>
        <v>0.6943368916229419</v>
      </c>
      <c r="L16" s="4">
        <f>Приложение_№11!K24/Приложение_№11!K23</f>
        <v>0.4985321430711162</v>
      </c>
      <c r="M16" s="4">
        <f>Приложение_№11!L24/Приложение_№11!L23</f>
        <v>0.4791313421155602</v>
      </c>
      <c r="N16" s="4">
        <f>Приложение_№11!M24/Приложение_№11!M23</f>
        <v>0.47236658638610723</v>
      </c>
      <c r="O16" s="4">
        <f>Приложение_№11!N24/Приложение_№11!N23</f>
        <v>0.4408227848101266</v>
      </c>
    </row>
    <row r="17" spans="1:15" ht="29.25" customHeight="1">
      <c r="A17" s="217" t="s">
        <v>87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/>
    </row>
    <row r="18" spans="1:15" ht="42.75" customHeight="1">
      <c r="A18" s="84" t="s">
        <v>88</v>
      </c>
      <c r="B18" s="15" t="s">
        <v>89</v>
      </c>
      <c r="C18" s="84" t="s">
        <v>362</v>
      </c>
      <c r="D18" s="17" t="s">
        <v>151</v>
      </c>
      <c r="E18" s="17">
        <v>0</v>
      </c>
      <c r="F18" s="18">
        <f>((E9-F9)/E9)*Приложение_№11!D9</f>
        <v>607878.4581535278</v>
      </c>
      <c r="G18" s="18">
        <f>((E9-G9)/E9)*Приложение_№11!D9</f>
        <v>789155.9184060489</v>
      </c>
      <c r="H18" s="18">
        <f>((E9-H9)/E9)*Приложение_№11!D9</f>
        <v>539418.8308898946</v>
      </c>
      <c r="I18" s="18">
        <f>((E9-I9)/E9)*Приложение_№11!D9</f>
        <v>895581.2669570266</v>
      </c>
      <c r="J18" s="18">
        <f>((E9-J9)/E9)*Приложение_№11!D9</f>
        <v>1048568.1043488116</v>
      </c>
      <c r="K18" s="18">
        <f>((E9-K9)/E9)*Приложение_№11!D9</f>
        <v>1523996.113525193</v>
      </c>
      <c r="L18" s="18">
        <f>((E9-L9)/E9)*Приложение_№11!D9</f>
        <v>1690282.1838858707</v>
      </c>
      <c r="M18" s="18">
        <f>((E9-M9)/E9)*Приложение_№11!D9</f>
        <v>2168658.490503786</v>
      </c>
      <c r="N18" s="18">
        <f>((E9-N9)/E9)*Приложение_№11!D9</f>
        <v>2591097.19417865</v>
      </c>
      <c r="O18" s="18">
        <v>2340531.2</v>
      </c>
    </row>
    <row r="19" spans="1:15" ht="24" customHeight="1">
      <c r="A19" s="84" t="s">
        <v>90</v>
      </c>
      <c r="B19" s="15" t="s">
        <v>91</v>
      </c>
      <c r="C19" s="84" t="s">
        <v>363</v>
      </c>
      <c r="D19" s="6" t="s">
        <v>152</v>
      </c>
      <c r="E19" s="17">
        <v>0</v>
      </c>
      <c r="F19" s="18">
        <f>F18*Приложение_№11!D17</f>
        <v>1233993.2700516614</v>
      </c>
      <c r="G19" s="18">
        <f>G18*Приложение_№11!D17</f>
        <v>1601986.514364279</v>
      </c>
      <c r="H19" s="18">
        <f>H18*Приложение_№11!D17</f>
        <v>1095020.226706486</v>
      </c>
      <c r="I19" s="18">
        <f>I18*Приложение_№11!D17</f>
        <v>1818029.9719227636</v>
      </c>
      <c r="J19" s="18">
        <f>J18*Приложение_№11!D17</f>
        <v>2128593.251828087</v>
      </c>
      <c r="K19" s="18">
        <f>K18*Приложение_№11!D17</f>
        <v>3093712.110456141</v>
      </c>
      <c r="L19" s="18">
        <f>L18*Приложение_№11!D17</f>
        <v>3431272.833288317</v>
      </c>
      <c r="M19" s="18">
        <f>M18*Приложение_№11!D17</f>
        <v>4402376.735722685</v>
      </c>
      <c r="N19" s="18">
        <f>N18*Приложение_№11!D17</f>
        <v>5259927.304182659</v>
      </c>
      <c r="O19" s="18">
        <f>O18*Приложение_№11!D17</f>
        <v>4751278.336</v>
      </c>
    </row>
    <row r="20" spans="1:15" ht="26.25" customHeight="1">
      <c r="A20" s="84" t="s">
        <v>92</v>
      </c>
      <c r="B20" s="15" t="s">
        <v>13</v>
      </c>
      <c r="C20" s="84" t="s">
        <v>364</v>
      </c>
      <c r="D20" s="17" t="s">
        <v>153</v>
      </c>
      <c r="E20" s="17">
        <v>0</v>
      </c>
      <c r="F20" s="18">
        <f>((E9-F9)/E9)*Приложение_№11!D10</f>
        <v>1289.5656475867117</v>
      </c>
      <c r="G20" s="18">
        <f>((E9-G9)/E9)*Приложение_№11!D10</f>
        <v>1674.1313157525265</v>
      </c>
      <c r="H20" s="18">
        <f>((E9-H9)/E9)*Приложение_№11!D10</f>
        <v>1144.334010601354</v>
      </c>
      <c r="I20" s="18">
        <f>((E9-I9)/E9)*Приложение_№11!D10</f>
        <v>1899.9042012412906</v>
      </c>
      <c r="J20" s="18">
        <f>((E9-J9)/E9)*Приложение_№11!D10</f>
        <v>2224.4535702593203</v>
      </c>
      <c r="K20" s="18">
        <f>((E9-K9)/E9)*Приложение_№11!D10</f>
        <v>3233.036158292989</v>
      </c>
      <c r="L20" s="18">
        <f>((E9-L9)/E9)*Приложение_№11!D10</f>
        <v>3585.7987889357714</v>
      </c>
      <c r="M20" s="18">
        <f>((E9-M9)/E9)*Приложение_№11!D10</f>
        <v>4600.635954752998</v>
      </c>
      <c r="N20" s="18">
        <f>((E9-N9)/E9)*Приложение_№11!D10</f>
        <v>5496.805959074125</v>
      </c>
      <c r="O20" s="18">
        <f>((E9-O9)/E9)*Приложение_№11!D10</f>
        <v>5354.188487811213</v>
      </c>
    </row>
    <row r="21" spans="1:15" ht="30" customHeight="1">
      <c r="A21" s="84" t="s">
        <v>93</v>
      </c>
      <c r="B21" s="15" t="s">
        <v>94</v>
      </c>
      <c r="C21" s="84" t="s">
        <v>363</v>
      </c>
      <c r="D21" s="6" t="s">
        <v>224</v>
      </c>
      <c r="E21" s="17">
        <v>0</v>
      </c>
      <c r="F21" s="18">
        <f>F20*Приложение_№11!D18</f>
        <v>1575849.2213509618</v>
      </c>
      <c r="G21" s="18">
        <f>G20*Приложение_№11!D18</f>
        <v>2045788.4678495873</v>
      </c>
      <c r="H21" s="18">
        <f>H20*Приложение_№11!D18</f>
        <v>1398376.1609548547</v>
      </c>
      <c r="I21" s="18">
        <f>I20*Приложение_№11!D18</f>
        <v>2321682.933916857</v>
      </c>
      <c r="J21" s="18">
        <f>J20*Приложение_№11!D18</f>
        <v>2718282.2628568895</v>
      </c>
      <c r="K21" s="18">
        <f>K20*Приложение_№11!D18</f>
        <v>3950770.1854340327</v>
      </c>
      <c r="L21" s="18">
        <f>L20*Приложение_№11!D18</f>
        <v>4381846.120079513</v>
      </c>
      <c r="M21" s="18">
        <f>M20*Приложение_№11!D18</f>
        <v>5621977.136708164</v>
      </c>
      <c r="N21" s="18">
        <f>N20*Приложение_№11!D18</f>
        <v>6717096.88198858</v>
      </c>
      <c r="O21" s="18">
        <f>O20*Приложение_№11!D18</f>
        <v>6542818.332105302</v>
      </c>
    </row>
    <row r="22" spans="1:15" ht="31.5" customHeight="1">
      <c r="A22" s="84" t="s">
        <v>95</v>
      </c>
      <c r="B22" s="15" t="s">
        <v>8</v>
      </c>
      <c r="C22" s="84" t="s">
        <v>365</v>
      </c>
      <c r="D22" s="17" t="s">
        <v>154</v>
      </c>
      <c r="E22" s="17">
        <v>0</v>
      </c>
      <c r="F22" s="18">
        <f>((E9-F9)/E9)*Приложение_№11!D11</f>
        <v>5687.708155742957</v>
      </c>
      <c r="G22" s="18">
        <f>((E9-G9)/E9)*Приложение_№11!D11</f>
        <v>7383.858554397531</v>
      </c>
      <c r="H22" s="18">
        <f>((E9-H9)/E9)*Приложение_№11!D11</f>
        <v>5047.155138764443</v>
      </c>
      <c r="I22" s="18">
        <f>((E9-I9)/E9)*Приложение_№11!D11</f>
        <v>8379.643673629873</v>
      </c>
      <c r="J22" s="18">
        <f>((E9-J9)/E9)*Приложение_№11!D11</f>
        <v>9811.08851442535</v>
      </c>
      <c r="K22" s="18">
        <f>((E9-K9)/E9)*Приложение_№11!D11</f>
        <v>14259.503701689951</v>
      </c>
      <c r="L22" s="18">
        <f>((E9-L9)/E9)*Приложение_№11!D11</f>
        <v>15815.384858343808</v>
      </c>
      <c r="M22" s="18">
        <f>((E9-M9)/E9)*Приложение_№11!D11</f>
        <v>20291.386243439316</v>
      </c>
      <c r="N22" s="18">
        <f>((E9-N9)/E9)*Приложение_№11!D11</f>
        <v>24243.998855327874</v>
      </c>
      <c r="O22" s="18">
        <f>((E9-O9)/E9)*Приложение_№11!D11</f>
        <v>23614.975776144962</v>
      </c>
    </row>
    <row r="23" spans="1:15" ht="30.75" customHeight="1">
      <c r="A23" s="84" t="s">
        <v>96</v>
      </c>
      <c r="B23" s="15" t="s">
        <v>9</v>
      </c>
      <c r="C23" s="84" t="s">
        <v>363</v>
      </c>
      <c r="D23" s="6" t="s">
        <v>155</v>
      </c>
      <c r="E23" s="17">
        <v>0</v>
      </c>
      <c r="F23" s="18">
        <f>F22*Приложение_№11!D19</f>
        <v>82471.76825827289</v>
      </c>
      <c r="G23" s="18">
        <f>G22*Приложение_№11!D19</f>
        <v>107065.9490387642</v>
      </c>
      <c r="H23" s="18">
        <f>H22*Приложение_№11!D19</f>
        <v>73183.74951208443</v>
      </c>
      <c r="I23" s="18">
        <f>I22*Приложение_№11!D19</f>
        <v>121504.83326763316</v>
      </c>
      <c r="J23" s="18">
        <f>J22*Приложение_№11!D19</f>
        <v>142260.78345916758</v>
      </c>
      <c r="K23" s="18">
        <f>K22*Приложение_№9!D19</f>
        <v>206762.8036745043</v>
      </c>
      <c r="L23" s="18">
        <f>L22*Приложение_№9!D19</f>
        <v>229323.08044598522</v>
      </c>
      <c r="M23" s="18">
        <f>M22*Приложение_№9!D19</f>
        <v>294225.1005298701</v>
      </c>
      <c r="N23" s="18">
        <f>N22*Приложение_№9!D19</f>
        <v>351537.9834022542</v>
      </c>
      <c r="O23" s="18">
        <f>O22*Приложение_№9!D19</f>
        <v>342417.14875410195</v>
      </c>
    </row>
    <row r="24" spans="1:15" ht="28.5" customHeight="1">
      <c r="A24" s="84" t="s">
        <v>97</v>
      </c>
      <c r="B24" s="15" t="s">
        <v>18</v>
      </c>
      <c r="C24" s="84" t="s">
        <v>365</v>
      </c>
      <c r="D24" s="17" t="s">
        <v>156</v>
      </c>
      <c r="E24" s="17">
        <v>0</v>
      </c>
      <c r="F24" s="18">
        <f>((E9-F9)/E9)*Приложение_№9!D12</f>
        <v>152545.0192471532</v>
      </c>
      <c r="G24" s="18">
        <f>((E9-G9)/E9)*Приложение_№9!D12</f>
        <v>198035.97766554108</v>
      </c>
      <c r="H24" s="18">
        <f>((E9-H9)/E9)*Приложение_№9!D12</f>
        <v>135365.31001661767</v>
      </c>
      <c r="I24" s="18">
        <f>((E9-I9)/E9)*Приложение_№9!D12</f>
        <v>224743.05475527336</v>
      </c>
      <c r="J24" s="18">
        <f>((E9-J9)/E9)*Приложение_№11!D12</f>
        <v>263134.5781617448</v>
      </c>
      <c r="K24" s="18">
        <f>((E9-K9)/E9)*Приложение_№11!D12</f>
        <v>382441.61041082954</v>
      </c>
      <c r="L24" s="18">
        <f>((E9-L9)/E9)*Приложение_№11!D12</f>
        <v>424170.53082816815</v>
      </c>
      <c r="M24" s="18">
        <f>((E9-M9)/E9)*Приложение_№11!D12</f>
        <v>544217.42823275</v>
      </c>
      <c r="N24" s="18">
        <f>((E9-N9)/E9)*Приложение_№11!D12</f>
        <v>650226.9755665513</v>
      </c>
      <c r="O24" s="18">
        <f>((E9-O9)/E9)*Приложение_№11!D12</f>
        <v>633356.500659365</v>
      </c>
    </row>
    <row r="25" spans="1:15" ht="34.5" customHeight="1">
      <c r="A25" s="84" t="s">
        <v>98</v>
      </c>
      <c r="B25" s="15" t="s">
        <v>99</v>
      </c>
      <c r="C25" s="84" t="s">
        <v>363</v>
      </c>
      <c r="D25" s="6" t="s">
        <v>225</v>
      </c>
      <c r="E25" s="17">
        <v>0</v>
      </c>
      <c r="F25" s="18">
        <f>F24*Приложение_№11!D20/1000</f>
        <v>183664.20317357246</v>
      </c>
      <c r="G25" s="18">
        <f>G24*Приложение_№11!D20/1000</f>
        <v>238435.31710931147</v>
      </c>
      <c r="H25" s="18">
        <f>H24*Приложение_№11!D20/1000</f>
        <v>162979.83326000767</v>
      </c>
      <c r="I25" s="18">
        <f>I24*Приложение_№11!D20/1000</f>
        <v>270590.6379253491</v>
      </c>
      <c r="J25" s="18">
        <f>J24*Приложение_№11!D20/1000</f>
        <v>316814.03210674075</v>
      </c>
      <c r="K25" s="18">
        <f>K24*Приложение_№11!D20/1000</f>
        <v>460459.69893463876</v>
      </c>
      <c r="L25" s="18">
        <f>L24*Приложение_№11!D20/1000</f>
        <v>510701.3191171144</v>
      </c>
      <c r="M25" s="18">
        <f>M24*Приложение_№11!D20/1000</f>
        <v>655237.783592231</v>
      </c>
      <c r="N25" s="18">
        <f>N24*Приложение_№11!D20/1000</f>
        <v>782873.2785821278</v>
      </c>
      <c r="O25" s="18">
        <f>O24*Приложение_№11!D20/1000</f>
        <v>762561.2267938755</v>
      </c>
    </row>
    <row r="26" spans="1:15" ht="15.75">
      <c r="A26" s="217" t="s">
        <v>100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</row>
    <row r="27" spans="1:15" ht="31.5">
      <c r="A27" s="84" t="s">
        <v>101</v>
      </c>
      <c r="B27" s="15" t="s">
        <v>137</v>
      </c>
      <c r="C27" s="84" t="s">
        <v>12</v>
      </c>
      <c r="D27" s="6" t="s">
        <v>157</v>
      </c>
      <c r="E27" s="4">
        <f>Приложение_№11!D25/Приложение_№11!D26</f>
        <v>0.964</v>
      </c>
      <c r="F27" s="4">
        <f>Приложение_№11!E25/Приложение_№11!E26</f>
        <v>0.965</v>
      </c>
      <c r="G27" s="4">
        <f>Приложение_№11!F25/Приложение_№11!F26</f>
        <v>0.973</v>
      </c>
      <c r="H27" s="4">
        <f>Приложение_№11!G25/Приложение_№11!G26</f>
        <v>0.974</v>
      </c>
      <c r="I27" s="4">
        <f>Приложение_№11!H25/Приложение_№11!H26</f>
        <v>0.974</v>
      </c>
      <c r="J27" s="4">
        <f>Приложение_№11!I25/Приложение_№11!I26</f>
        <v>0.977</v>
      </c>
      <c r="K27" s="4">
        <f>Приложение_№11!J25/Приложение_№11!J26</f>
        <v>0.98</v>
      </c>
      <c r="L27" s="4">
        <f>Приложение_№11!K25/Приложение_№11!K26</f>
        <v>1</v>
      </c>
      <c r="M27" s="4">
        <f>Приложение_№11!L25/Приложение_№11!L26</f>
        <v>1</v>
      </c>
      <c r="N27" s="4">
        <f>Приложение_№11!M25/Приложение_№11!M26</f>
        <v>1</v>
      </c>
      <c r="O27" s="4">
        <f>Приложение_№11!N25/Приложение_№11!N26</f>
        <v>1</v>
      </c>
    </row>
    <row r="28" spans="1:15" ht="31.5">
      <c r="A28" s="84" t="s">
        <v>102</v>
      </c>
      <c r="B28" s="15" t="s">
        <v>4</v>
      </c>
      <c r="C28" s="84" t="s">
        <v>12</v>
      </c>
      <c r="D28" s="6" t="s">
        <v>158</v>
      </c>
      <c r="E28" s="4">
        <f>Приложение_№11!D27/Приложение_№11!D28</f>
        <v>0.491</v>
      </c>
      <c r="F28" s="4">
        <f>Приложение_№11!E27/Приложение_№11!E28</f>
        <v>0.494</v>
      </c>
      <c r="G28" s="4">
        <f>Приложение_№11!F27/Приложение_№11!F28</f>
        <v>0.5</v>
      </c>
      <c r="H28" s="4">
        <f>Приложение_№11!G27/Приложение_№11!G28</f>
        <v>0.53</v>
      </c>
      <c r="I28" s="4">
        <f>Приложение_№11!H27/Приложение_№11!H28</f>
        <v>0.56</v>
      </c>
      <c r="J28" s="4">
        <f>Приложение_№11!I27/Приложение_№11!I28</f>
        <v>0.6</v>
      </c>
      <c r="K28" s="4">
        <f>Приложение_№11!J27/Приложение_№11!J28</f>
        <v>0.7</v>
      </c>
      <c r="L28" s="4">
        <f>Приложение_№11!K27/Приложение_№11!K28</f>
        <v>0.852695672823328</v>
      </c>
      <c r="M28" s="4">
        <f>Приложение_№11!L27/Приложение_№11!L28</f>
        <v>1</v>
      </c>
      <c r="N28" s="4">
        <f>Приложение_№11!M27/Приложение_№11!M28</f>
        <v>1</v>
      </c>
      <c r="O28" s="4">
        <f>Приложение_№11!N27/Приложение_№11!N28</f>
        <v>1</v>
      </c>
    </row>
    <row r="29" spans="1:15" ht="31.5">
      <c r="A29" s="84" t="s">
        <v>103</v>
      </c>
      <c r="B29" s="15" t="s">
        <v>5</v>
      </c>
      <c r="C29" s="84" t="s">
        <v>12</v>
      </c>
      <c r="D29" s="6" t="s">
        <v>159</v>
      </c>
      <c r="E29" s="4">
        <f>Приложение_№11!D29/Приложение_№11!D30</f>
        <v>0.445</v>
      </c>
      <c r="F29" s="4">
        <f>Приложение_№11!E29/Приложение_№11!E30</f>
        <v>0.45</v>
      </c>
      <c r="G29" s="4">
        <f>Приложение_№11!F29/Приложение_№11!F30</f>
        <v>0.52</v>
      </c>
      <c r="H29" s="4">
        <f>Приложение_№11!G29/Приложение_№11!G30</f>
        <v>0.6</v>
      </c>
      <c r="I29" s="4">
        <f>Приложение_№11!H29/Приложение_№11!H30</f>
        <v>0.6</v>
      </c>
      <c r="J29" s="4">
        <f>Приложение_№11!I29/Приложение_№11!I30</f>
        <v>0.7904761904761904</v>
      </c>
      <c r="K29" s="4">
        <f>Приложение_№11!J29/Приложение_№11!J30</f>
        <v>0.7901140684410647</v>
      </c>
      <c r="L29" s="4">
        <f>Приложение_№11!K29/Приложение_№11!K30</f>
        <v>0.7893939393939394</v>
      </c>
      <c r="M29" s="4">
        <f>Приложение_№11!L29/Приложение_№11!L30</f>
        <v>1</v>
      </c>
      <c r="N29" s="4">
        <f>Приложение_№11!M29/Приложение_№11!M30</f>
        <v>1</v>
      </c>
      <c r="O29" s="4">
        <f>Приложение_№11!N29/Приложение_№11!N30</f>
        <v>1</v>
      </c>
    </row>
    <row r="30" spans="1:15" ht="31.5">
      <c r="A30" s="84" t="s">
        <v>104</v>
      </c>
      <c r="B30" s="15" t="s">
        <v>138</v>
      </c>
      <c r="C30" s="84" t="s">
        <v>12</v>
      </c>
      <c r="D30" s="6" t="s">
        <v>160</v>
      </c>
      <c r="E30" s="4">
        <f>Приложение_№11!D31/Приложение_№11!D32</f>
        <v>0.57</v>
      </c>
      <c r="F30" s="4">
        <f>Приложение_№11!E31/Приложение_№11!E32</f>
        <v>0.6</v>
      </c>
      <c r="G30" s="4">
        <f>Приложение_№11!F31/Приложение_№11!F32</f>
        <v>0.6079999999999999</v>
      </c>
      <c r="H30" s="4">
        <f>Приложение_№11!G31/Приложение_№11!G32</f>
        <v>0.6143967331862407</v>
      </c>
      <c r="I30" s="4">
        <f>Приложение_№11!H31/Приложение_№11!H32</f>
        <v>0.628</v>
      </c>
      <c r="J30" s="4">
        <f>Приложение_№11!I31/Приложение_№11!I32</f>
        <v>0.7253735281383357</v>
      </c>
      <c r="K30" s="4">
        <f>Приложение_№11!J31/Приложение_№11!J32</f>
        <v>0.8130168874026489</v>
      </c>
      <c r="L30" s="4">
        <f>Приложение_№11!K31/Приложение_№11!K32</f>
        <v>0.8713038489135116</v>
      </c>
      <c r="M30" s="4">
        <f>Приложение_№11!L31/Приложение_№11!L32</f>
        <v>1</v>
      </c>
      <c r="N30" s="4">
        <f>Приложение_№11!M31/Приложение_№11!M32</f>
        <v>1</v>
      </c>
      <c r="O30" s="4">
        <f>Приложение_№11!N31/Приложение_№11!N32</f>
        <v>1</v>
      </c>
    </row>
    <row r="31" spans="1:15" ht="31.5">
      <c r="A31" s="84" t="s">
        <v>105</v>
      </c>
      <c r="B31" s="15" t="s">
        <v>366</v>
      </c>
      <c r="C31" s="84" t="s">
        <v>12</v>
      </c>
      <c r="D31" s="5" t="s">
        <v>223</v>
      </c>
      <c r="E31" s="4">
        <f>Приложение_№11!D34/Приложение_№11!D33/1000</f>
        <v>0.06837465489974912</v>
      </c>
      <c r="F31" s="4">
        <f>Приложение_№11!E34/Приложение_№11!D33/1000</f>
        <v>0.07743708302055582</v>
      </c>
      <c r="G31" s="4">
        <f>Приложение_№11!F34/Приложение_№11!D33/1000</f>
        <v>0.09363456390929775</v>
      </c>
      <c r="H31" s="4">
        <f>Приложение_№11!G34/Приложение_№11!D33/1000</f>
        <v>0.11186654566033333</v>
      </c>
      <c r="I31" s="4">
        <f>Приложение_№11!H34/Приложение_№11!D33/1000</f>
        <v>0.12772566733157292</v>
      </c>
      <c r="J31" s="4">
        <f>Приложение_№11!I34/Приложение_№11!D33/1000</f>
        <v>0.13836883643318482</v>
      </c>
      <c r="K31" s="4">
        <f>Приложение_№11!J34/Приложение_№11!D33/1000</f>
        <v>0.14948923067763412</v>
      </c>
      <c r="L31" s="4">
        <f>Приложение_№11!K34/Приложение_№11!D33/1000</f>
        <v>0.1584871778471962</v>
      </c>
      <c r="M31" s="4">
        <f>Приложение_№11!L34/Приложение_№11!D33/1000</f>
        <v>0.16817773429480473</v>
      </c>
      <c r="N31" s="4">
        <f>Приложение_№11!M34/Приложение_№11!D33/1000</f>
        <v>0.1785662853100851</v>
      </c>
      <c r="O31" s="4">
        <f>Приложение_№11!N34/Приложение_№11!D33/1000</f>
        <v>0.2180458491134275</v>
      </c>
    </row>
    <row r="32" spans="1:15" ht="31.5">
      <c r="A32" s="84" t="s">
        <v>106</v>
      </c>
      <c r="B32" s="15" t="s">
        <v>367</v>
      </c>
      <c r="C32" s="84" t="s">
        <v>12</v>
      </c>
      <c r="D32" s="6" t="s">
        <v>161</v>
      </c>
      <c r="E32" s="4">
        <f>Приложение_№11!D34/Приложение_№11!D33/1000</f>
        <v>0.06837465489974912</v>
      </c>
      <c r="F32" s="4">
        <f>Приложение_№11!E34/Приложение_№11!E33/1000</f>
        <v>0.05636082443029017</v>
      </c>
      <c r="G32" s="4">
        <f>Приложение_№11!F34/Приложение_№11!F33/1000</f>
        <v>0.06083659959879897</v>
      </c>
      <c r="H32" s="4">
        <f>Приложение_№11!G34/Приложение_№11!G33/1000</f>
        <v>0.06845111732492414</v>
      </c>
      <c r="I32" s="4">
        <f>Приложение_№11!H34/Приложение_№11!H33/1000</f>
        <v>0.07360546635276252</v>
      </c>
      <c r="J32" s="4">
        <f>Приложение_№11!I34/Приложение_№11!I33/1000</f>
        <v>0.0750968553591223</v>
      </c>
      <c r="K32" s="4">
        <f>Приложение_№11!J34/Приложение_№11!J33/1000</f>
        <v>0.07640907530077726</v>
      </c>
      <c r="L32" s="4">
        <f>Приложение_№11!K34/Приложение_№11!K33/1000</f>
        <v>0.07629230626128589</v>
      </c>
      <c r="M32" s="4">
        <f>Приложение_№11!L34/Приложение_№11!L33/1000</f>
        <v>0.07624417739770047</v>
      </c>
      <c r="N32" s="4">
        <f>Приложение_№11!M34/Приложение_№11!M33/1000</f>
        <v>0.07626293153596249</v>
      </c>
      <c r="O32" s="4">
        <f>Приложение_№11!N34/Приложение_№11!N33/1000</f>
        <v>0.07658562573266088</v>
      </c>
    </row>
    <row r="33" spans="1:15" ht="31.5">
      <c r="A33" s="84" t="s">
        <v>107</v>
      </c>
      <c r="B33" s="15" t="s">
        <v>368</v>
      </c>
      <c r="C33" s="84" t="s">
        <v>222</v>
      </c>
      <c r="D33" s="6" t="s">
        <v>162</v>
      </c>
      <c r="E33" s="16">
        <f>Приложение_№11!E34-Приложение_№11!D34</f>
        <v>465.99911640000073</v>
      </c>
      <c r="F33" s="16">
        <f>Приложение_№11!F34-Приложение_№11!E34</f>
        <v>832.8906647799995</v>
      </c>
      <c r="G33" s="16">
        <f>Приложение_№11!G34-Приложение_№11!F34</f>
        <v>937.50673362</v>
      </c>
      <c r="H33" s="16">
        <f>Приложение_№11!H34-Приложение_№11!G34</f>
        <v>815.4918954568111</v>
      </c>
      <c r="I33" s="16">
        <f>Приложение_№11!I34-Приложение_№11!H34</f>
        <v>547.2823983739845</v>
      </c>
      <c r="J33" s="16">
        <f>Приложение_№11!J34-Приложение_№11!I34</f>
        <v>571.8217924438286</v>
      </c>
      <c r="K33" s="16">
        <f>Приложение_№11!K34-Приложение_№11!J34</f>
        <v>462.6834414060522</v>
      </c>
      <c r="L33" s="16">
        <f>Приложение_№11!L34-Приложение_№11!K34</f>
        <v>498.2981030924775</v>
      </c>
      <c r="M33" s="16">
        <f>Приложение_№11!M34-Приложение_№11!L34</f>
        <v>534.1896817567304</v>
      </c>
      <c r="N33" s="16">
        <v>626.3</v>
      </c>
      <c r="O33" s="16">
        <v>979.42864596481</v>
      </c>
    </row>
    <row r="34" spans="1:15" ht="31.5">
      <c r="A34" s="84" t="s">
        <v>108</v>
      </c>
      <c r="B34" s="15" t="s">
        <v>369</v>
      </c>
      <c r="C34" s="84" t="s">
        <v>222</v>
      </c>
      <c r="D34" s="6" t="s">
        <v>227</v>
      </c>
      <c r="E34" s="16">
        <f>Приложение_№11!E34-Приложение_№11!D34</f>
        <v>465.99911640000073</v>
      </c>
      <c r="F34" s="16">
        <f>Приложение_№11!F34-Приложение_№11!D34</f>
        <v>1298.8897811800002</v>
      </c>
      <c r="G34" s="16">
        <f>Приложение_№11!G34-Приложение_№11!D34</f>
        <v>2236.3965148</v>
      </c>
      <c r="H34" s="16">
        <f>Приложение_№11!H34-Приложение_№11!D34</f>
        <v>3051.8884102568113</v>
      </c>
      <c r="I34" s="16">
        <f>Приложение_№11!I34-Приложение_№11!D34</f>
        <v>3599.170808630796</v>
      </c>
      <c r="J34" s="16">
        <f>Приложение_№11!J34-Приложение_№11!D34</f>
        <v>4170.992601074624</v>
      </c>
      <c r="K34" s="16">
        <f>Приложение_№11!K34-Приложение_№11!D34</f>
        <v>4633.676042480676</v>
      </c>
      <c r="L34" s="16">
        <f>Приложение_№11!L34-Приложение_№11!D34</f>
        <v>5131.974145573155</v>
      </c>
      <c r="M34" s="16">
        <f>Приложение_№11!M34-Приложение_№11!D34</f>
        <v>5666.163827329885</v>
      </c>
      <c r="N34" s="16">
        <f>Приложение_№11!N34-Приложение_№11!D34</f>
        <v>7696.242477661555</v>
      </c>
      <c r="O34" s="16">
        <v>10698.1844283568</v>
      </c>
    </row>
    <row r="35" spans="1:15" ht="31.5">
      <c r="A35" s="84" t="s">
        <v>109</v>
      </c>
      <c r="B35" s="15" t="s">
        <v>370</v>
      </c>
      <c r="C35" s="84" t="s">
        <v>12</v>
      </c>
      <c r="D35" s="6" t="s">
        <v>163</v>
      </c>
      <c r="E35" s="4">
        <f>Приложение_№11!D35/Приложение_№11!D33/1000</f>
        <v>0.06808502362847864</v>
      </c>
      <c r="F35" s="4">
        <f>Приложение_№11!E35/Приложение_№11!E33/1000</f>
        <v>0.0805378627034678</v>
      </c>
      <c r="G35" s="4">
        <f>Приложение_№11!F35/Приложение_№11!F33/1000</f>
        <v>0.08679240796267844</v>
      </c>
      <c r="H35" s="4">
        <f>Приложение_№11!G35/Приложение_№11!G33/1000</f>
        <v>0.1014101267329089</v>
      </c>
      <c r="I35" s="4">
        <f>Приложение_№11!H35/Приложение_№11!H33/1000</f>
        <v>0.11603781185345553</v>
      </c>
      <c r="J35" s="4">
        <f>Приложение_№11!I35/Приложение_№11!I33/1000</f>
        <v>0.11838896218909625</v>
      </c>
      <c r="K35" s="4">
        <f>Приложение_№11!J35/Приложение_№11!J33/1000</f>
        <v>0.12045765542949163</v>
      </c>
      <c r="L35" s="4">
        <f>Приложение_№11!K35/Приложение_№11!K33/1000</f>
        <v>0.12027357095171835</v>
      </c>
      <c r="M35" s="4">
        <f>Приложение_№11!L35/Приложение_№11!L33/1000</f>
        <v>0.12019769658675365</v>
      </c>
      <c r="N35" s="4">
        <f>Приложение_№11!M35/Приложение_№11!M33/1000</f>
        <v>0.12022726217848147</v>
      </c>
      <c r="O35" s="4">
        <f>Приложение_№11!N35/Приложение_№11!N33/1000</f>
        <v>0.12073598429299444</v>
      </c>
    </row>
    <row r="36" spans="1:15" ht="31.5">
      <c r="A36" s="84" t="s">
        <v>110</v>
      </c>
      <c r="B36" s="15" t="s">
        <v>371</v>
      </c>
      <c r="C36" s="84" t="s">
        <v>222</v>
      </c>
      <c r="D36" s="6" t="s">
        <v>164</v>
      </c>
      <c r="E36" s="16">
        <f>Приложение_№11!E35-Приложение_№11!D35</f>
        <v>2189</v>
      </c>
      <c r="F36" s="16">
        <f>Приложение_№11!F35-Приложение_№11!E35</f>
        <v>1179</v>
      </c>
      <c r="G36" s="16">
        <f>Приложение_№11!G35-Приложение_№11!F35</f>
        <v>1653</v>
      </c>
      <c r="H36" s="16">
        <f>Приложение_№11!H35-Приложение_№11!G35</f>
        <v>1832</v>
      </c>
      <c r="I36" s="16">
        <f>Приложение_№11!I35-Приложение_№11!H35</f>
        <v>862.7817351074336</v>
      </c>
      <c r="J36" s="16">
        <f>Приложение_№11!J35-Приложение_№11!I35</f>
        <v>901.4676878385453</v>
      </c>
      <c r="K36" s="16">
        <f>Приложение_№11!K35-Приложение_№11!J35</f>
        <v>729.4128654015367</v>
      </c>
      <c r="L36" s="16">
        <f>Приложение_№11!L35-Приложение_№11!K35</f>
        <v>785.5587960880912</v>
      </c>
      <c r="M36" s="16">
        <f>Приложение_№11!M35-Приложение_№11!L35</f>
        <v>842.1412818535628</v>
      </c>
      <c r="N36" s="16">
        <v>1038.12773185638</v>
      </c>
      <c r="O36" s="16">
        <v>1827.55484702727</v>
      </c>
    </row>
    <row r="37" spans="1:15" ht="42.75" customHeight="1">
      <c r="A37" s="84" t="s">
        <v>111</v>
      </c>
      <c r="B37" s="15" t="s">
        <v>372</v>
      </c>
      <c r="C37" s="84" t="s">
        <v>12</v>
      </c>
      <c r="D37" s="6" t="s">
        <v>165</v>
      </c>
      <c r="E37" s="4">
        <f>Приложение_№11!D37/Приложение_№11!D36</f>
        <v>0</v>
      </c>
      <c r="F37" s="4">
        <f>Приложение_№11!E37/Приложение_№11!E36</f>
        <v>0</v>
      </c>
      <c r="G37" s="4">
        <f>Приложение_№11!F37/Приложение_№11!F36</f>
        <v>0</v>
      </c>
      <c r="H37" s="4">
        <f>Приложение_№11!G37/Приложение_№11!G36</f>
        <v>0</v>
      </c>
      <c r="I37" s="4">
        <f>Приложение_№11!H37/Приложение_№11!H36</f>
        <v>0.010355029585798817</v>
      </c>
      <c r="J37" s="4">
        <f>Приложение_№11!I37/Приложение_№11!I36</f>
        <v>0.021449704142011833</v>
      </c>
      <c r="K37" s="4">
        <f>Приложение_№11!J37/Приложение_№11!J36</f>
        <v>0.05547337278106509</v>
      </c>
      <c r="L37" s="4">
        <f>Приложение_№11!K37/Приложение_№11!K36</f>
        <v>0.09245562130177515</v>
      </c>
      <c r="M37" s="4">
        <f>Приложение_№11!L37/Приложение_№11!L36</f>
        <v>0.11834319526627218</v>
      </c>
      <c r="N37" s="4">
        <f>Приложение_№11!M37/Приложение_№11!M36</f>
        <v>0.13239644970414202</v>
      </c>
      <c r="O37" s="4">
        <f>Приложение_№11!N37/Приложение_№11!N36</f>
        <v>0.13239644970414202</v>
      </c>
    </row>
    <row r="38" spans="1:15" ht="30" customHeight="1">
      <c r="A38" s="84" t="s">
        <v>112</v>
      </c>
      <c r="B38" s="15" t="s">
        <v>113</v>
      </c>
      <c r="C38" s="84" t="s">
        <v>48</v>
      </c>
      <c r="D38" s="6" t="s">
        <v>166</v>
      </c>
      <c r="E38" s="17">
        <f>Приложение_№11!D38</f>
        <v>0</v>
      </c>
      <c r="F38" s="17">
        <f>Приложение_№11!E38</f>
        <v>0</v>
      </c>
      <c r="G38" s="17">
        <f>Приложение_№11!F38</f>
        <v>0</v>
      </c>
      <c r="H38" s="17">
        <f>Приложение_№11!G38</f>
        <v>0</v>
      </c>
      <c r="I38" s="17">
        <f>Приложение_№11!H38</f>
        <v>50</v>
      </c>
      <c r="J38" s="17">
        <f>Приложение_№11!I38</f>
        <v>240</v>
      </c>
      <c r="K38" s="17">
        <f>Приложение_№9!J38</f>
        <v>280</v>
      </c>
      <c r="L38" s="17">
        <f>Приложение_№11!K38</f>
        <v>320</v>
      </c>
      <c r="M38" s="17">
        <f>Приложение_№11!L38</f>
        <v>488</v>
      </c>
      <c r="N38" s="17">
        <f>Приложение_№11!M38</f>
        <v>488</v>
      </c>
      <c r="O38" s="17">
        <f>Приложение_№11!N38</f>
        <v>488</v>
      </c>
    </row>
    <row r="39" spans="1:15" ht="31.5">
      <c r="A39" s="84" t="s">
        <v>114</v>
      </c>
      <c r="B39" s="15" t="s">
        <v>217</v>
      </c>
      <c r="C39" s="84" t="s">
        <v>48</v>
      </c>
      <c r="D39" s="6" t="s">
        <v>167</v>
      </c>
      <c r="E39" s="4">
        <f>Приложение_№11!D40/Приложение_№11!D39</f>
        <v>0</v>
      </c>
      <c r="F39" s="4">
        <f>Приложение_№11!E40/Приложение_№11!E39</f>
        <v>0</v>
      </c>
      <c r="G39" s="4">
        <f>Приложение_№11!F40/Приложение_№11!F39</f>
        <v>0</v>
      </c>
      <c r="H39" s="4">
        <f>Приложение_№11!G40/Приложение_№11!G39</f>
        <v>0</v>
      </c>
      <c r="I39" s="4">
        <f>Приложение_№11!H40/Приложение_№11!H39</f>
        <v>0.08196721311475409</v>
      </c>
      <c r="J39" s="4">
        <f>Приложение_№11!I40/Приложение_№11!I39</f>
        <v>0.32786885245901637</v>
      </c>
      <c r="K39" s="4">
        <f>Приложение_№11!J40/Приложение_№11!J39</f>
        <v>0.45081967213114754</v>
      </c>
      <c r="L39" s="4">
        <f>Приложение_№11!K40/Приложение_№11!K39</f>
        <v>0.5327868852459017</v>
      </c>
      <c r="M39" s="4">
        <f>Приложение_№11!L40/Приложение_№11!L39</f>
        <v>1</v>
      </c>
      <c r="N39" s="4">
        <f>Приложение_№11!M40/Приложение_№11!M39</f>
        <v>1</v>
      </c>
      <c r="O39" s="4">
        <f>Приложение_№11!N40/Приложение_№11!N39</f>
        <v>1</v>
      </c>
    </row>
    <row r="40" spans="1:15" ht="48" customHeight="1">
      <c r="A40" s="84" t="s">
        <v>115</v>
      </c>
      <c r="B40" s="15" t="s">
        <v>116</v>
      </c>
      <c r="C40" s="84" t="s">
        <v>12</v>
      </c>
      <c r="D40" s="6" t="s">
        <v>168</v>
      </c>
      <c r="E40" s="4">
        <f>Приложение_№11!D42/Приложение_№11!D41</f>
        <v>0</v>
      </c>
      <c r="F40" s="4">
        <f>Приложение_№11!E42/Приложение_№11!E41</f>
        <v>0</v>
      </c>
      <c r="G40" s="4">
        <f>Приложение_№11!F42/Приложение_№11!F41</f>
        <v>0</v>
      </c>
      <c r="H40" s="4">
        <f>Приложение_№11!G42/Приложение_№11!G41</f>
        <v>0</v>
      </c>
      <c r="I40" s="4">
        <f>Приложение_№11!H42/Приложение_№11!H41</f>
        <v>0.35</v>
      </c>
      <c r="J40" s="4">
        <f>Приложение_№11!I42/Приложение_№11!I41</f>
        <v>0.4</v>
      </c>
      <c r="K40" s="4">
        <f>Приложение_№11!J42/Приложение_№11!J41</f>
        <v>0.45</v>
      </c>
      <c r="L40" s="4">
        <f>Приложение_№11!K42/Приложение_№11!K41</f>
        <v>0.5</v>
      </c>
      <c r="M40" s="4">
        <f>Приложение_№11!L42/Приложение_№11!L41</f>
        <v>0.6813852991040393</v>
      </c>
      <c r="N40" s="4">
        <f>Приложение_№11!M42/Приложение_№11!M41</f>
        <v>1</v>
      </c>
      <c r="O40" s="4">
        <f>Приложение_№11!N42/Приложение_№11!N41</f>
        <v>1</v>
      </c>
    </row>
    <row r="41" spans="1:15" ht="42" customHeight="1">
      <c r="A41" s="84" t="s">
        <v>117</v>
      </c>
      <c r="B41" s="15" t="s">
        <v>373</v>
      </c>
      <c r="C41" s="84" t="s">
        <v>374</v>
      </c>
      <c r="D41" s="6" t="s">
        <v>169</v>
      </c>
      <c r="E41" s="16">
        <f>Приложение_№11!D43/Приложение_№11!D44</f>
        <v>4.5306421212250045</v>
      </c>
      <c r="F41" s="16">
        <f>Приложение_№11!E43/Приложение_№11!E44</f>
        <v>5.42581804666005</v>
      </c>
      <c r="G41" s="16">
        <f>Приложение_№11!F43/Приложение_№11!F44</f>
        <v>9.718951030019461</v>
      </c>
      <c r="H41" s="16">
        <f>Приложение_№11!G43/Приложение_№11!G44</f>
        <v>10.788035643321603</v>
      </c>
      <c r="I41" s="16">
        <f>Приложение_№11!H43/Приложение_№11!H44</f>
        <v>11.97471956408698</v>
      </c>
      <c r="J41" s="16">
        <f>Приложение_№11!I43/Приложение_№11!I44</f>
        <v>13.29193871613655</v>
      </c>
      <c r="K41" s="16">
        <f>Приложение_№11!J43/Приложение_№11!J44</f>
        <v>14.754051974911569</v>
      </c>
      <c r="L41" s="16">
        <f>Приложение_№11!K43/Приложение_№11!K44</f>
        <v>16.376997692151843</v>
      </c>
      <c r="M41" s="16">
        <f>Приложение_№11!L43/Приложение_№11!L44</f>
        <v>18.178467438288546</v>
      </c>
      <c r="N41" s="16">
        <f>Приложение_№11!M43/Приложение_№11!M44</f>
        <v>20.17809885650029</v>
      </c>
      <c r="O41" s="16">
        <f>Приложение_№11!N43/Приложение_№11!N44</f>
        <v>23.398027395816943</v>
      </c>
    </row>
    <row r="42" spans="1:15" ht="28.5" customHeight="1">
      <c r="A42" s="217" t="s">
        <v>118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</row>
    <row r="43" spans="1:15" ht="47.25">
      <c r="A43" s="84" t="s">
        <v>119</v>
      </c>
      <c r="B43" s="15" t="s">
        <v>6</v>
      </c>
      <c r="C43" s="84" t="s">
        <v>12</v>
      </c>
      <c r="D43" s="6" t="s">
        <v>170</v>
      </c>
      <c r="E43" s="19">
        <f>Приложение_№11!D46/Приложение_№11!D45</f>
        <v>0.92</v>
      </c>
      <c r="F43" s="19">
        <f>Приложение_№11!E46/Приложение_№11!E45</f>
        <v>0.92</v>
      </c>
      <c r="G43" s="19">
        <f>Приложение_№11!F46/Приложение_№11!F45</f>
        <v>0.9299999999999999</v>
      </c>
      <c r="H43" s="19">
        <f>Приложение_№11!G46/Приложение_№11!G45</f>
        <v>0.94</v>
      </c>
      <c r="I43" s="19">
        <f>Приложение_№11!H46/Приложение_№11!H45</f>
        <v>0.974</v>
      </c>
      <c r="J43" s="19">
        <f>Приложение_№11!I46/Приложение_№11!I45</f>
        <v>0.977</v>
      </c>
      <c r="K43" s="19">
        <f>Приложение_№11!J46/Приложение_№11!J45</f>
        <v>0.98</v>
      </c>
      <c r="L43" s="19">
        <f>Приложение_№11!K46/Приложение_№11!K45</f>
        <v>1</v>
      </c>
      <c r="M43" s="19">
        <f>Приложение_№11!L46/Приложение_№11!L45</f>
        <v>1</v>
      </c>
      <c r="N43" s="19">
        <f>Приложение_№11!M46/Приложение_№11!M45</f>
        <v>1</v>
      </c>
      <c r="O43" s="19">
        <f>Приложение_№11!N46/Приложение_№11!N45</f>
        <v>1</v>
      </c>
    </row>
    <row r="44" spans="1:15" ht="47.25">
      <c r="A44" s="84" t="s">
        <v>120</v>
      </c>
      <c r="B44" s="15" t="s">
        <v>139</v>
      </c>
      <c r="C44" s="84" t="s">
        <v>12</v>
      </c>
      <c r="D44" s="6" t="s">
        <v>171</v>
      </c>
      <c r="E44" s="19">
        <f>Приложение_№11!D48/Приложение_№11!D47</f>
        <v>0.1</v>
      </c>
      <c r="F44" s="19">
        <f>Приложение_№11!E48/Приложение_№11!E47</f>
        <v>0.09</v>
      </c>
      <c r="G44" s="19">
        <f>Приложение_№11!F48/Приложение_№11!F47</f>
        <v>0.0851</v>
      </c>
      <c r="H44" s="19">
        <f>Приложение_№11!G48/Приложение_№11!G47</f>
        <v>0.081</v>
      </c>
      <c r="I44" s="19">
        <f>Приложение_№11!H48/Приложение_№11!H47</f>
        <v>0.16131795822445905</v>
      </c>
      <c r="J44" s="19">
        <f>Приложение_№11!I48/Приложение_№11!I47</f>
        <v>0.2409556279491884</v>
      </c>
      <c r="K44" s="19">
        <f>Приложение_№11!J48/Приложение_№11!J47</f>
        <v>0.4793331798576423</v>
      </c>
      <c r="L44" s="19">
        <f>Приложение_№11!K48/Приложение_№11!K47</f>
        <v>1</v>
      </c>
      <c r="M44" s="19">
        <f>Приложение_№11!L48/Приложение_№11!L47</f>
        <v>1</v>
      </c>
      <c r="N44" s="19">
        <f>Приложение_№11!M48/Приложение_№11!M47</f>
        <v>1</v>
      </c>
      <c r="O44" s="19">
        <f>Приложение_№11!N48/Приложение_№11!N47</f>
        <v>1</v>
      </c>
    </row>
    <row r="45" spans="1:15" ht="47.25">
      <c r="A45" s="84" t="s">
        <v>121</v>
      </c>
      <c r="B45" s="15" t="s">
        <v>7</v>
      </c>
      <c r="C45" s="84" t="s">
        <v>12</v>
      </c>
      <c r="D45" s="6" t="s">
        <v>172</v>
      </c>
      <c r="E45" s="19">
        <f>Приложение_№11!D49/Приложение_№11!D47</f>
        <v>0.8999999999999999</v>
      </c>
      <c r="F45" s="19">
        <f>Приложение_№11!E49/Приложение_№11!E47</f>
        <v>0.91</v>
      </c>
      <c r="G45" s="19">
        <f>Приложение_№11!F49/Приложение_№11!F47</f>
        <v>0.9149</v>
      </c>
      <c r="H45" s="19">
        <f>Приложение_№11!G49/Приложение_№11!G47</f>
        <v>0.919</v>
      </c>
      <c r="I45" s="19">
        <f>Приложение_№11!H49/Приложение_№11!H47</f>
        <v>0.9299999999999987</v>
      </c>
      <c r="J45" s="19">
        <f>Приложение_№11!I49/Приложение_№11!I47</f>
        <v>0.9400000000000003</v>
      </c>
      <c r="K45" s="19">
        <f>Приложение_№11!J49/Приложение_№11!J47</f>
        <v>0.9800000000000001</v>
      </c>
      <c r="L45" s="19">
        <f>Приложение_№11!K49/Приложение_№11!K47</f>
        <v>1</v>
      </c>
      <c r="M45" s="19">
        <f>Приложение_№11!L49/Приложение_№11!L47</f>
        <v>1</v>
      </c>
      <c r="N45" s="19">
        <f>Приложение_№11!M49/Приложение_№11!M47</f>
        <v>1</v>
      </c>
      <c r="O45" s="19">
        <f>Приложение_№11!N49/Приложение_№11!N47</f>
        <v>1</v>
      </c>
    </row>
    <row r="46" spans="1:15" ht="47.25">
      <c r="A46" s="84" t="s">
        <v>122</v>
      </c>
      <c r="B46" s="15" t="s">
        <v>140</v>
      </c>
      <c r="C46" s="84" t="s">
        <v>12</v>
      </c>
      <c r="D46" s="6" t="s">
        <v>173</v>
      </c>
      <c r="E46" s="19">
        <f>Приложение_№11!D51/Приложение_№11!D50</f>
        <v>0.05</v>
      </c>
      <c r="F46" s="19">
        <f>Приложение_№11!E51/Приложение_№11!E50</f>
        <v>0.05</v>
      </c>
      <c r="G46" s="19">
        <f>Приложение_№11!F51/Приложение_№11!F50</f>
        <v>0.05</v>
      </c>
      <c r="H46" s="19">
        <f>Приложение_№11!G51/Приложение_№11!G50</f>
        <v>0.05</v>
      </c>
      <c r="I46" s="19">
        <f>Приложение_№11!H51/Приложение_№11!H50</f>
        <v>0.07</v>
      </c>
      <c r="J46" s="19">
        <f>Приложение_№11!I51/Приложение_№11!I50</f>
        <v>0.09</v>
      </c>
      <c r="K46" s="19">
        <f>Приложение_№11!J51/Приложение_№11!J50</f>
        <v>0.3174688796680498</v>
      </c>
      <c r="L46" s="19">
        <f>Приложение_№11!K51/Приложение_№11!K50</f>
        <v>0.4425</v>
      </c>
      <c r="M46" s="19">
        <f>Приложение_№11!L51/Приложение_№11!L50</f>
        <v>1</v>
      </c>
      <c r="N46" s="19">
        <f>Приложение_№11!M51/Приложение_№11!M50</f>
        <v>1</v>
      </c>
      <c r="O46" s="19">
        <f>Приложение_№11!N51/Приложение_№11!N50</f>
        <v>1</v>
      </c>
    </row>
    <row r="47" spans="1:15" ht="44.25" customHeight="1">
      <c r="A47" s="84" t="s">
        <v>123</v>
      </c>
      <c r="B47" s="15" t="s">
        <v>141</v>
      </c>
      <c r="C47" s="84" t="s">
        <v>12</v>
      </c>
      <c r="D47" s="6" t="s">
        <v>174</v>
      </c>
      <c r="E47" s="19">
        <f>Приложение_№11!D53/Приложение_№11!D52</f>
        <v>0.1</v>
      </c>
      <c r="F47" s="19">
        <f>Приложение_№11!E53/Приложение_№11!E52</f>
        <v>0.09</v>
      </c>
      <c r="G47" s="19">
        <f>Приложение_№11!F53/Приложение_№11!F52</f>
        <v>0.0851</v>
      </c>
      <c r="H47" s="19">
        <f>Приложение_№11!G53/Приложение_№11!G52</f>
        <v>0.081</v>
      </c>
      <c r="I47" s="19">
        <f>Приложение_№11!H53/Приложение_№11!H52</f>
        <v>0.15</v>
      </c>
      <c r="J47" s="19">
        <f>Приложение_№11!I53/Приложение_№11!I52</f>
        <v>0.2</v>
      </c>
      <c r="K47" s="19">
        <f>Приложение_№11!J53/Приложение_№11!J52</f>
        <v>0.5944987775061125</v>
      </c>
      <c r="L47" s="19">
        <f>Приложение_№11!K53/Приложение_№11!K52</f>
        <v>0.808641975308642</v>
      </c>
      <c r="M47" s="19">
        <f>Приложение_№11!L53/Приложение_№11!L52</f>
        <v>1</v>
      </c>
      <c r="N47" s="19">
        <f>Приложение_№11!M53/Приложение_№11!M52</f>
        <v>1</v>
      </c>
      <c r="O47" s="19">
        <f>Приложение_№11!N53/Приложение_№11!N52</f>
        <v>1</v>
      </c>
    </row>
    <row r="48" spans="1:15" ht="60.75" customHeight="1">
      <c r="A48" s="84" t="s">
        <v>124</v>
      </c>
      <c r="B48" s="15" t="s">
        <v>142</v>
      </c>
      <c r="C48" s="84" t="s">
        <v>12</v>
      </c>
      <c r="D48" s="6" t="s">
        <v>175</v>
      </c>
      <c r="E48" s="19">
        <f>Приложение_№11!D55/Приложение_№11!D54</f>
        <v>0.08554918438702426</v>
      </c>
      <c r="F48" s="19">
        <f>Приложение_№11!E55/Приложение_№11!E54</f>
        <v>0.09544197355650745</v>
      </c>
      <c r="G48" s="19">
        <f>Приложение_№11!F55/Приложение_№11!F54</f>
        <v>0.09816339542981461</v>
      </c>
      <c r="H48" s="19">
        <f>Приложение_№11!G55/Приложение_№11!G54</f>
        <v>0.09805201946058247</v>
      </c>
      <c r="I48" s="19">
        <f>Приложение_№11!H55/Приложение_№11!H54</f>
        <v>0.1</v>
      </c>
      <c r="J48" s="19">
        <f>Приложение_№11!I55/Приложение_№11!I54</f>
        <v>0.10056258790436005</v>
      </c>
      <c r="K48" s="19">
        <f>Приложение_№11!J55/Приложение_№11!J54</f>
        <v>0.3104895104895105</v>
      </c>
      <c r="L48" s="19">
        <f>Приложение_№11!K55/Приложение_№11!K54</f>
        <v>0.5201649914917934</v>
      </c>
      <c r="M48" s="19">
        <f>Приложение_№11!L55/Приложение_№11!L54</f>
        <v>1</v>
      </c>
      <c r="N48" s="19">
        <f>Приложение_№11!M55/Приложение_№11!M54</f>
        <v>1</v>
      </c>
      <c r="O48" s="19">
        <f>Приложение_№11!N55/Приложение_№11!N54</f>
        <v>1</v>
      </c>
    </row>
    <row r="49" spans="1:15" ht="60.75" customHeight="1">
      <c r="A49" s="84" t="s">
        <v>125</v>
      </c>
      <c r="B49" s="15" t="s">
        <v>143</v>
      </c>
      <c r="C49" s="84" t="s">
        <v>12</v>
      </c>
      <c r="D49" s="6" t="s">
        <v>176</v>
      </c>
      <c r="E49" s="19">
        <f>Приложение_№11!D57/Приложение_№11!D56</f>
        <v>0.07</v>
      </c>
      <c r="F49" s="19">
        <f>Приложение_№11!E57/Приложение_№11!E56</f>
        <v>0.09999999999999999</v>
      </c>
      <c r="G49" s="19">
        <f>Приложение_№11!F57/Приложение_№11!F56</f>
        <v>0.10385544216128538</v>
      </c>
      <c r="H49" s="19">
        <f>Приложение_№11!G57/Приложение_№11!G56</f>
        <v>0.11224489795918367</v>
      </c>
      <c r="I49" s="19">
        <f>Приложение_№11!H57/Приложение_№11!H56</f>
        <v>0.116</v>
      </c>
      <c r="J49" s="19">
        <f>Приложение_№11!I57/Приложение_№11!I56</f>
        <v>0.11904761904761904</v>
      </c>
      <c r="K49" s="19">
        <f>Приложение_№11!J57/Приложение_№11!J56</f>
        <v>0.29133858267716534</v>
      </c>
      <c r="L49" s="19">
        <f>Приложение_№11!K57/Приложение_№11!K56</f>
        <v>0.56</v>
      </c>
      <c r="M49" s="19">
        <f>Приложение_№11!L57/Приложение_№11!L56</f>
        <v>1</v>
      </c>
      <c r="N49" s="19">
        <f>Приложение_№11!M57/Приложение_№11!M56</f>
        <v>1</v>
      </c>
      <c r="O49" s="19">
        <f>Приложение_№11!N57/Приложение_№11!N56</f>
        <v>1</v>
      </c>
    </row>
    <row r="50" spans="1:15" ht="60" customHeight="1">
      <c r="A50" s="84" t="s">
        <v>126</v>
      </c>
      <c r="B50" s="15" t="s">
        <v>144</v>
      </c>
      <c r="C50" s="84" t="s">
        <v>12</v>
      </c>
      <c r="D50" s="6" t="s">
        <v>177</v>
      </c>
      <c r="E50" s="19">
        <f>Приложение_№11!D58/Приложение_№11!D56</f>
        <v>0.07700000000000001</v>
      </c>
      <c r="F50" s="19">
        <f>Приложение_№11!E58/Приложение_№11!E56</f>
        <v>0.11000000000000001</v>
      </c>
      <c r="G50" s="19">
        <f>Приложение_№11!F58/Приложение_№11!F56</f>
        <v>0.11424098637741392</v>
      </c>
      <c r="H50" s="19">
        <f>Приложение_№11!G58/Приложение_№11!G56</f>
        <v>0.12346938775510206</v>
      </c>
      <c r="I50" s="19">
        <f>Приложение_№11!H58/Приложение_№11!H56</f>
        <v>0.12760000000000002</v>
      </c>
      <c r="J50" s="19">
        <f>Приложение_№11!I58/Приложение_№11!I56</f>
        <v>0.13095238095238096</v>
      </c>
      <c r="K50" s="19">
        <f>Приложение_№11!J58/Приложение_№11!J56</f>
        <v>0.2755905511811024</v>
      </c>
      <c r="L50" s="19">
        <f>Приложение_№11!K58/Приложение_№11!K56</f>
        <v>0.48</v>
      </c>
      <c r="M50" s="19">
        <f>Приложение_№11!L58/Приложение_№11!L56</f>
        <v>1</v>
      </c>
      <c r="N50" s="19">
        <f>Приложение_№11!M58/Приложение_№11!M56</f>
        <v>1</v>
      </c>
      <c r="O50" s="19">
        <f>Приложение_№11!N58/Приложение_№11!N56</f>
        <v>1</v>
      </c>
    </row>
    <row r="51" spans="1:15" ht="70.5" customHeight="1">
      <c r="A51" s="84" t="s">
        <v>127</v>
      </c>
      <c r="B51" s="15" t="s">
        <v>145</v>
      </c>
      <c r="C51" s="84" t="s">
        <v>12</v>
      </c>
      <c r="D51" s="6" t="s">
        <v>178</v>
      </c>
      <c r="E51" s="19">
        <f>Приложение_№11!D60/Приложение_№11!D59</f>
        <v>0.009999999999999998</v>
      </c>
      <c r="F51" s="19">
        <f>Приложение_№11!E60/Приложение_№11!E59</f>
        <v>0.04957900870717784</v>
      </c>
      <c r="G51" s="19">
        <f>Приложение_№11!F60/Приложение_№11!F59</f>
        <v>0.0655240477920349</v>
      </c>
      <c r="H51" s="19">
        <f>Приложение_№11!G60/Приложение_№11!G59</f>
        <v>0.06976905423883319</v>
      </c>
      <c r="I51" s="19">
        <f>Приложение_№11!H60/Приложение_№11!H59</f>
        <v>0.09281971972031358</v>
      </c>
      <c r="J51" s="19">
        <f>Приложение_№11!I60/Приложение_№11!I59</f>
        <v>0.22814485315966834</v>
      </c>
      <c r="K51" s="19">
        <f>Приложение_№11!J60/Приложение_№11!J59</f>
        <v>0.30262009339122553</v>
      </c>
      <c r="L51" s="19">
        <f>Приложение_№11!K60/Приложение_№11!K59</f>
        <v>0.5475724766009327</v>
      </c>
      <c r="M51" s="19">
        <f>Приложение_№11!L60/Приложение_№11!L59</f>
        <v>1</v>
      </c>
      <c r="N51" s="19">
        <f>Приложение_№11!M60/Приложение_№11!M59</f>
        <v>1</v>
      </c>
      <c r="O51" s="19">
        <f>Приложение_№11!N60/Приложение_№11!N59</f>
        <v>1</v>
      </c>
    </row>
    <row r="52" spans="1:15" ht="57" customHeight="1">
      <c r="A52" s="84" t="s">
        <v>128</v>
      </c>
      <c r="B52" s="15" t="s">
        <v>2</v>
      </c>
      <c r="C52" s="84" t="s">
        <v>12</v>
      </c>
      <c r="D52" s="6" t="s">
        <v>179</v>
      </c>
      <c r="E52" s="19">
        <f>Приложение_№11!D62/Приложение_№11!D61</f>
        <v>0.01</v>
      </c>
      <c r="F52" s="19">
        <f>Приложение_№11!E62/Приложение_№11!E61</f>
        <v>0.05</v>
      </c>
      <c r="G52" s="19">
        <f>Приложение_№11!F62/Приложение_№11!F61</f>
        <v>0.07047920185883012</v>
      </c>
      <c r="H52" s="19">
        <f>Приложение_№11!G62/Приложение_№11!G61</f>
        <v>0.06756964268275842</v>
      </c>
      <c r="I52" s="19">
        <f>Приложение_№11!H62/Приложение_№11!H61</f>
        <v>0.07005348128155665</v>
      </c>
      <c r="J52" s="19">
        <f>Приложение_№11!I62/Приложение_№11!I61</f>
        <v>0.15259815479701613</v>
      </c>
      <c r="K52" s="19">
        <f>Приложение_№11!J62/Приложение_№11!J61</f>
        <v>0.3036250045230547</v>
      </c>
      <c r="L52" s="19">
        <f>Приложение_№11!K62/Приложение_№11!K61</f>
        <v>0.6676041619918504</v>
      </c>
      <c r="M52" s="19">
        <f>Приложение_№11!L62/Приложение_№11!L61</f>
        <v>1</v>
      </c>
      <c r="N52" s="19">
        <f>Приложение_№11!M62/Приложение_№11!M61</f>
        <v>1</v>
      </c>
      <c r="O52" s="19">
        <f>Приложение_№11!N62/Приложение_№11!N61</f>
        <v>1</v>
      </c>
    </row>
    <row r="53" spans="1:15" ht="30" customHeight="1">
      <c r="A53" s="84" t="s">
        <v>129</v>
      </c>
      <c r="B53" s="15" t="s">
        <v>130</v>
      </c>
      <c r="C53" s="84" t="s">
        <v>48</v>
      </c>
      <c r="D53" s="6" t="s">
        <v>228</v>
      </c>
      <c r="E53" s="20">
        <f>Приложение_№11!D64</f>
        <v>0</v>
      </c>
      <c r="F53" s="20">
        <f>Приложение_№11!E64</f>
        <v>0</v>
      </c>
      <c r="G53" s="20">
        <f>Приложение_№11!F64</f>
        <v>0</v>
      </c>
      <c r="H53" s="20">
        <f>Приложение_№11!G64</f>
        <v>0</v>
      </c>
      <c r="I53" s="20">
        <f>Приложение_№11!H64</f>
        <v>0</v>
      </c>
      <c r="J53" s="20">
        <f>Приложение_№11!I64</f>
        <v>100</v>
      </c>
      <c r="K53" s="20">
        <f>Приложение_№11!J64</f>
        <v>500</v>
      </c>
      <c r="L53" s="20">
        <f>Приложение_№11!K64</f>
        <v>1500</v>
      </c>
      <c r="M53" s="20">
        <f>Приложение_№11!L64</f>
        <v>3000</v>
      </c>
      <c r="N53" s="20">
        <f>Приложение_№11!M64</f>
        <v>6000</v>
      </c>
      <c r="O53" s="20">
        <f>Приложение_№11!N64</f>
        <v>20450</v>
      </c>
    </row>
    <row r="54" spans="1:15" ht="27.75" customHeight="1">
      <c r="A54" s="84" t="s">
        <v>131</v>
      </c>
      <c r="B54" s="15" t="s">
        <v>132</v>
      </c>
      <c r="C54" s="84" t="s">
        <v>12</v>
      </c>
      <c r="D54" s="6" t="s">
        <v>395</v>
      </c>
      <c r="E54" s="4">
        <f>Приложение_№11!D64/Приложение_№11!D63</f>
        <v>0</v>
      </c>
      <c r="F54" s="4">
        <f>Приложение_№11!E64/Приложение_№11!E63</f>
        <v>0</v>
      </c>
      <c r="G54" s="4">
        <f>Приложение_№11!F64/Приложение_№11!F63</f>
        <v>0</v>
      </c>
      <c r="H54" s="4">
        <f>Приложение_№11!G64/Приложение_№11!G63</f>
        <v>0</v>
      </c>
      <c r="I54" s="4">
        <f>Приложение_№11!H64/Приложение_№11!H63</f>
        <v>0</v>
      </c>
      <c r="J54" s="4">
        <f>Приложение_№11!I64/Приложение_№11!I63</f>
        <v>0.0007442635883924651</v>
      </c>
      <c r="K54" s="4">
        <f>Приложение_№11!J64/Приложение_№11!J63</f>
        <v>0.0037027711539316024</v>
      </c>
      <c r="L54" s="4">
        <f>Приложение_№11!K64/Приложение_№11!K63</f>
        <v>0.011053224962603256</v>
      </c>
      <c r="M54" s="4">
        <f>Приложение_№11!L64/Приложение_№11!L63</f>
        <v>0.02199736031676199</v>
      </c>
      <c r="N54" s="4">
        <f>Приложение_№11!M64/Приложение_№11!M63</f>
        <v>0.043778684158683134</v>
      </c>
      <c r="O54" s="4">
        <f>Приложение_№11!N64/Приложение_№11!N63</f>
        <v>0.14633797273605495</v>
      </c>
    </row>
    <row r="55" spans="1:15" ht="15.75">
      <c r="A55" s="220" t="s">
        <v>375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2"/>
    </row>
    <row r="56" spans="1:15" ht="87.75" customHeight="1">
      <c r="A56" s="21" t="s">
        <v>180</v>
      </c>
      <c r="B56" s="22" t="s">
        <v>181</v>
      </c>
      <c r="C56" s="21" t="s">
        <v>48</v>
      </c>
      <c r="D56" s="5" t="s">
        <v>182</v>
      </c>
      <c r="E56" s="23">
        <f>Приложение_№11!E65-Приложение_№11!D65</f>
        <v>4</v>
      </c>
      <c r="F56" s="23">
        <f>Приложение_№11!F65-Приложение_№11!E65</f>
        <v>10</v>
      </c>
      <c r="G56" s="23">
        <f>Приложение_№11!G65-Приложение_№11!F65</f>
        <v>5</v>
      </c>
      <c r="H56" s="23">
        <f>Приложение_№11!H65-Приложение_№11!G65</f>
        <v>5</v>
      </c>
      <c r="I56" s="23">
        <f>Приложение_№11!I65-Приложение_№11!H65</f>
        <v>10</v>
      </c>
      <c r="J56" s="23">
        <f>Приложение_№11!J65-Приложение_№11!I65</f>
        <v>10</v>
      </c>
      <c r="K56" s="23">
        <f>Приложение_№11!K65-Приложение_№11!J65</f>
        <v>10</v>
      </c>
      <c r="L56" s="23">
        <f>Приложение_№11!L65-Приложение_№11!K65</f>
        <v>10</v>
      </c>
      <c r="M56" s="23">
        <f>Приложение_№11!M65-Приложение_№11!L65</f>
        <v>10</v>
      </c>
      <c r="N56" s="23">
        <v>10</v>
      </c>
      <c r="O56" s="23">
        <v>10</v>
      </c>
    </row>
    <row r="57" spans="1:15" ht="88.5" customHeight="1">
      <c r="A57" s="21" t="s">
        <v>183</v>
      </c>
      <c r="B57" s="22" t="s">
        <v>184</v>
      </c>
      <c r="C57" s="21" t="s">
        <v>48</v>
      </c>
      <c r="D57" s="5" t="s">
        <v>185</v>
      </c>
      <c r="E57" s="23">
        <f>Приложение_№11!E66-Приложение_№11!D66</f>
        <v>0</v>
      </c>
      <c r="F57" s="23">
        <f>Приложение_№11!F66-Приложение_№11!E66</f>
        <v>0</v>
      </c>
      <c r="G57" s="23">
        <f>Приложение_№11!G66-Приложение_№11!F66</f>
        <v>5</v>
      </c>
      <c r="H57" s="23">
        <f>Приложение_№11!H66-Приложение_№11!G66</f>
        <v>20</v>
      </c>
      <c r="I57" s="23">
        <f>Приложение_№11!I66-Приложение_№11!H66</f>
        <v>15</v>
      </c>
      <c r="J57" s="23">
        <f>Приложение_№11!J66-Приложение_№11!I66</f>
        <v>10</v>
      </c>
      <c r="K57" s="23">
        <f>Приложение_№11!K66-Приложение_№11!J66</f>
        <v>10</v>
      </c>
      <c r="L57" s="23">
        <f>Приложение_№11!L66-Приложение_№11!K66</f>
        <v>10</v>
      </c>
      <c r="M57" s="23">
        <f>Приложение_№11!M66-Приложение_№11!L66</f>
        <v>10</v>
      </c>
      <c r="N57" s="23">
        <v>10</v>
      </c>
      <c r="O57" s="23">
        <v>10</v>
      </c>
    </row>
    <row r="58" spans="1:15" ht="12.75">
      <c r="A58" s="24"/>
      <c r="B58" s="24"/>
      <c r="C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60" spans="1:15" ht="12.75">
      <c r="A60" s="223" t="s">
        <v>215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</row>
    <row r="61" spans="1:15" ht="12.7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</row>
  </sheetData>
  <sheetProtection/>
  <mergeCells count="15">
    <mergeCell ref="A42:O42"/>
    <mergeCell ref="A55:O55"/>
    <mergeCell ref="A60:O61"/>
    <mergeCell ref="E5:O5"/>
    <mergeCell ref="A8:O8"/>
    <mergeCell ref="A17:O17"/>
    <mergeCell ref="A26:O26"/>
    <mergeCell ref="A5:A6"/>
    <mergeCell ref="B5:B6"/>
    <mergeCell ref="C5:C6"/>
    <mergeCell ref="D5:D6"/>
    <mergeCell ref="H1:O1"/>
    <mergeCell ref="K2:O2"/>
    <mergeCell ref="K3:O3"/>
    <mergeCell ref="A4:O4"/>
  </mergeCells>
  <printOptions/>
  <pageMargins left="0.15748031496062992" right="0.15748031496062992" top="0.5118110236220472" bottom="0.31496062992125984" header="0.31496062992125984" footer="0.31496062992125984"/>
  <pageSetup fitToHeight="10" horizontalDpi="600" verticalDpi="600" orientation="landscape" paperSize="9" scale="5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60" zoomScalePageLayoutView="0" workbookViewId="0" topLeftCell="A79">
      <selection activeCell="C9" sqref="C9"/>
    </sheetView>
  </sheetViews>
  <sheetFormatPr defaultColWidth="45.25390625" defaultRowHeight="12.75"/>
  <cols>
    <col min="1" max="1" width="6.375" style="28" bestFit="1" customWidth="1"/>
    <col min="2" max="2" width="45.25390625" style="42" customWidth="1"/>
    <col min="3" max="3" width="12.625" style="43" customWidth="1"/>
    <col min="4" max="7" width="12.75390625" style="28" bestFit="1" customWidth="1"/>
    <col min="8" max="8" width="15.375" style="28" customWidth="1"/>
    <col min="9" max="10" width="14.375" style="28" customWidth="1"/>
    <col min="11" max="11" width="14.75390625" style="28" customWidth="1"/>
    <col min="12" max="12" width="14.00390625" style="28" customWidth="1"/>
    <col min="13" max="13" width="15.25390625" style="28" customWidth="1"/>
    <col min="14" max="14" width="14.00390625" style="28" customWidth="1"/>
    <col min="15" max="16384" width="45.25390625" style="28" customWidth="1"/>
  </cols>
  <sheetData>
    <row r="1" spans="1:14" ht="18.75">
      <c r="A1" s="2"/>
      <c r="B1" s="2"/>
      <c r="C1" s="2"/>
      <c r="D1" s="2"/>
      <c r="E1" s="2"/>
      <c r="F1" s="2"/>
      <c r="G1" s="27"/>
      <c r="H1" s="27"/>
      <c r="I1" s="27"/>
      <c r="J1" s="214" t="s">
        <v>396</v>
      </c>
      <c r="K1" s="214"/>
      <c r="L1" s="214"/>
      <c r="M1" s="214"/>
      <c r="N1" s="214"/>
    </row>
    <row r="2" spans="1:14" ht="57.75" customHeight="1">
      <c r="A2" s="2"/>
      <c r="B2" s="2"/>
      <c r="C2" s="2"/>
      <c r="D2" s="2"/>
      <c r="E2" s="2"/>
      <c r="F2" s="2"/>
      <c r="G2" s="27"/>
      <c r="H2" s="27"/>
      <c r="I2" s="27"/>
      <c r="J2" s="214" t="s">
        <v>376</v>
      </c>
      <c r="K2" s="214"/>
      <c r="L2" s="214"/>
      <c r="M2" s="214"/>
      <c r="N2" s="214"/>
    </row>
    <row r="3" spans="1:14" ht="19.5" thickBot="1">
      <c r="A3" s="216" t="s">
        <v>397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.75">
      <c r="A4" s="242" t="s">
        <v>19</v>
      </c>
      <c r="B4" s="244" t="s">
        <v>20</v>
      </c>
      <c r="C4" s="246" t="s">
        <v>378</v>
      </c>
      <c r="D4" s="248" t="s">
        <v>21</v>
      </c>
      <c r="E4" s="248"/>
      <c r="F4" s="248"/>
      <c r="G4" s="248"/>
      <c r="H4" s="248"/>
      <c r="I4" s="248"/>
      <c r="J4" s="248"/>
      <c r="K4" s="248"/>
      <c r="L4" s="248"/>
      <c r="M4" s="249"/>
      <c r="N4" s="249"/>
    </row>
    <row r="5" spans="1:14" ht="12.75">
      <c r="A5" s="243"/>
      <c r="B5" s="245"/>
      <c r="C5" s="247"/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  <c r="J5" s="29">
        <v>2013</v>
      </c>
      <c r="K5" s="29">
        <v>2014</v>
      </c>
      <c r="L5" s="29">
        <v>2015</v>
      </c>
      <c r="M5" s="57">
        <v>2016</v>
      </c>
      <c r="N5" s="58">
        <v>2020</v>
      </c>
    </row>
    <row r="6" spans="1:14" ht="13.5" thickBot="1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59">
        <v>13</v>
      </c>
      <c r="N6" s="59">
        <v>14</v>
      </c>
    </row>
    <row r="7" spans="1:14" ht="31.5">
      <c r="A7" s="60">
        <v>1</v>
      </c>
      <c r="B7" s="61" t="s">
        <v>218</v>
      </c>
      <c r="C7" s="62" t="s">
        <v>219</v>
      </c>
      <c r="D7" s="63">
        <v>246.5</v>
      </c>
      <c r="E7" s="63">
        <v>277.3</v>
      </c>
      <c r="F7" s="63">
        <v>281.7</v>
      </c>
      <c r="G7" s="63">
        <v>286.2</v>
      </c>
      <c r="H7" s="63">
        <v>297.7</v>
      </c>
      <c r="I7" s="63">
        <v>309.6</v>
      </c>
      <c r="J7" s="63">
        <v>340.5</v>
      </c>
      <c r="K7" s="63">
        <v>350.7</v>
      </c>
      <c r="L7" s="63">
        <v>392.8</v>
      </c>
      <c r="M7" s="63">
        <v>439.9</v>
      </c>
      <c r="N7" s="63">
        <v>752</v>
      </c>
    </row>
    <row r="8" spans="1:14" ht="15.75">
      <c r="A8" s="33">
        <v>2</v>
      </c>
      <c r="B8" s="34" t="s">
        <v>22</v>
      </c>
      <c r="C8" s="35" t="s">
        <v>379</v>
      </c>
      <c r="D8" s="1">
        <v>9272.3</v>
      </c>
      <c r="E8" s="1">
        <v>9339.6</v>
      </c>
      <c r="F8" s="1">
        <v>9157.2</v>
      </c>
      <c r="G8" s="1">
        <v>9766.2</v>
      </c>
      <c r="H8" s="1">
        <v>9472.2</v>
      </c>
      <c r="I8" s="1">
        <v>9544.2</v>
      </c>
      <c r="J8" s="36">
        <f aca="true" t="shared" si="0" ref="J8:M11">I8*0.99</f>
        <v>9448.758</v>
      </c>
      <c r="K8" s="36">
        <f t="shared" si="0"/>
        <v>9354.270419999999</v>
      </c>
      <c r="L8" s="36">
        <f t="shared" si="0"/>
        <v>9260.7277158</v>
      </c>
      <c r="M8" s="36">
        <f t="shared" si="0"/>
        <v>9168.120438642</v>
      </c>
      <c r="N8" s="1">
        <v>16000</v>
      </c>
    </row>
    <row r="9" spans="1:14" ht="15.75">
      <c r="A9" s="33">
        <v>3</v>
      </c>
      <c r="B9" s="34" t="s">
        <v>23</v>
      </c>
      <c r="C9" s="35" t="s">
        <v>362</v>
      </c>
      <c r="D9" s="36">
        <v>5810400</v>
      </c>
      <c r="E9" s="36">
        <v>5943400</v>
      </c>
      <c r="F9" s="36">
        <v>5455200</v>
      </c>
      <c r="G9" s="36">
        <v>5632700</v>
      </c>
      <c r="H9" s="36">
        <v>5600000</v>
      </c>
      <c r="I9" s="36">
        <v>5627000</v>
      </c>
      <c r="J9" s="36">
        <f t="shared" si="0"/>
        <v>5570730</v>
      </c>
      <c r="K9" s="36">
        <f t="shared" si="0"/>
        <v>5515022.7</v>
      </c>
      <c r="L9" s="36">
        <f t="shared" si="0"/>
        <v>5459872.473</v>
      </c>
      <c r="M9" s="36">
        <f t="shared" si="0"/>
        <v>5405273.74827</v>
      </c>
      <c r="N9" s="36">
        <v>11600000</v>
      </c>
    </row>
    <row r="10" spans="1:14" ht="15.75">
      <c r="A10" s="33">
        <v>4</v>
      </c>
      <c r="B10" s="34" t="s">
        <v>24</v>
      </c>
      <c r="C10" s="35" t="s">
        <v>25</v>
      </c>
      <c r="D10" s="36">
        <v>12326.3</v>
      </c>
      <c r="E10" s="36">
        <v>11774.8</v>
      </c>
      <c r="F10" s="36">
        <v>11741.2</v>
      </c>
      <c r="G10" s="36">
        <v>11652.7</v>
      </c>
      <c r="H10" s="36">
        <v>11161.487999999998</v>
      </c>
      <c r="I10" s="36">
        <v>10843.520999999999</v>
      </c>
      <c r="J10" s="36">
        <f t="shared" si="0"/>
        <v>10735.08579</v>
      </c>
      <c r="K10" s="36">
        <f t="shared" si="0"/>
        <v>10627.734932099998</v>
      </c>
      <c r="L10" s="36">
        <f t="shared" si="0"/>
        <v>10521.457582778998</v>
      </c>
      <c r="M10" s="36">
        <f t="shared" si="0"/>
        <v>10416.243006951208</v>
      </c>
      <c r="N10" s="36">
        <v>11800</v>
      </c>
    </row>
    <row r="11" spans="1:14" ht="15.75">
      <c r="A11" s="33">
        <v>5</v>
      </c>
      <c r="B11" s="34" t="s">
        <v>26</v>
      </c>
      <c r="C11" s="35" t="s">
        <v>3</v>
      </c>
      <c r="D11" s="36">
        <v>54365.9</v>
      </c>
      <c r="E11" s="36">
        <v>61169.7</v>
      </c>
      <c r="F11" s="36">
        <v>62463.1</v>
      </c>
      <c r="G11" s="36">
        <v>62902.8</v>
      </c>
      <c r="H11" s="36">
        <v>63345.7</v>
      </c>
      <c r="I11" s="36">
        <v>63788.8</v>
      </c>
      <c r="J11" s="36">
        <f t="shared" si="0"/>
        <v>63150.912000000004</v>
      </c>
      <c r="K11" s="36">
        <f t="shared" si="0"/>
        <v>62519.40288</v>
      </c>
      <c r="L11" s="36">
        <f t="shared" si="0"/>
        <v>61894.2088512</v>
      </c>
      <c r="M11" s="36">
        <f t="shared" si="0"/>
        <v>61275.266762688</v>
      </c>
      <c r="N11" s="36">
        <v>66400</v>
      </c>
    </row>
    <row r="12" spans="1:14" ht="15.75">
      <c r="A12" s="33">
        <v>6</v>
      </c>
      <c r="B12" s="34" t="s">
        <v>27</v>
      </c>
      <c r="C12" s="35" t="s">
        <v>3</v>
      </c>
      <c r="D12" s="36">
        <v>1458100</v>
      </c>
      <c r="E12" s="36">
        <v>1589300</v>
      </c>
      <c r="F12" s="36">
        <v>1788700</v>
      </c>
      <c r="G12" s="36">
        <v>2084800</v>
      </c>
      <c r="H12" s="36">
        <v>1774437.775975489</v>
      </c>
      <c r="I12" s="36">
        <v>1827360</v>
      </c>
      <c r="J12" s="36">
        <f>I12*0.99</f>
        <v>1809086.4</v>
      </c>
      <c r="K12" s="36">
        <f>J12*0.99</f>
        <v>1790995.5359999998</v>
      </c>
      <c r="L12" s="36">
        <f>K12*0.99</f>
        <v>1773085.5806399998</v>
      </c>
      <c r="M12" s="36">
        <f>L12*0.99</f>
        <v>1755354.7248335998</v>
      </c>
      <c r="N12" s="36">
        <v>7785000</v>
      </c>
    </row>
    <row r="13" spans="1:14" ht="78.75">
      <c r="A13" s="33">
        <v>7</v>
      </c>
      <c r="B13" s="34" t="s">
        <v>11</v>
      </c>
      <c r="C13" s="35" t="s">
        <v>362</v>
      </c>
      <c r="D13" s="36">
        <v>5601225.6</v>
      </c>
      <c r="E13" s="36">
        <v>5735381</v>
      </c>
      <c r="F13" s="36">
        <v>5307715</v>
      </c>
      <c r="G13" s="36">
        <v>5474854</v>
      </c>
      <c r="H13" s="36">
        <v>5454400</v>
      </c>
      <c r="I13" s="36">
        <v>5497579</v>
      </c>
      <c r="J13" s="36">
        <f>J9</f>
        <v>5570730</v>
      </c>
      <c r="K13" s="36">
        <f>K9</f>
        <v>5515022.7</v>
      </c>
      <c r="L13" s="36">
        <f>L9</f>
        <v>5459872.473</v>
      </c>
      <c r="M13" s="36">
        <f>M9</f>
        <v>5405273.74827</v>
      </c>
      <c r="N13" s="36">
        <f>N9</f>
        <v>11600000</v>
      </c>
    </row>
    <row r="14" spans="1:14" ht="47.25">
      <c r="A14" s="33">
        <v>8</v>
      </c>
      <c r="B14" s="34" t="s">
        <v>28</v>
      </c>
      <c r="C14" s="35" t="s">
        <v>364</v>
      </c>
      <c r="D14" s="36">
        <v>4377.403268397277</v>
      </c>
      <c r="E14" s="36">
        <v>4283.226000000001</v>
      </c>
      <c r="F14" s="36">
        <v>4484.737490000001</v>
      </c>
      <c r="G14" s="36">
        <v>4689.543600000001</v>
      </c>
      <c r="H14" s="36">
        <v>5189.69064</v>
      </c>
      <c r="I14" s="36">
        <v>5448.0130425</v>
      </c>
      <c r="J14" s="36">
        <v>6350.566520979999</v>
      </c>
      <c r="K14" s="36">
        <v>7180.44664619825</v>
      </c>
      <c r="L14" s="36">
        <f aca="true" t="shared" si="1" ref="L14:N16">L10</f>
        <v>10521.457582778998</v>
      </c>
      <c r="M14" s="36">
        <f t="shared" si="1"/>
        <v>10416.243006951208</v>
      </c>
      <c r="N14" s="36">
        <f t="shared" si="1"/>
        <v>11800</v>
      </c>
    </row>
    <row r="15" spans="1:14" ht="47.25">
      <c r="A15" s="33">
        <v>9</v>
      </c>
      <c r="B15" s="34" t="s">
        <v>29</v>
      </c>
      <c r="C15" s="35" t="s">
        <v>3</v>
      </c>
      <c r="D15" s="36">
        <v>7900</v>
      </c>
      <c r="E15" s="36">
        <v>9000</v>
      </c>
      <c r="F15" s="36">
        <v>9200</v>
      </c>
      <c r="G15" s="36">
        <v>9435.42</v>
      </c>
      <c r="H15" s="36">
        <v>14569.511</v>
      </c>
      <c r="I15" s="36">
        <v>25515.520000000004</v>
      </c>
      <c r="J15" s="36">
        <v>38537.7</v>
      </c>
      <c r="K15" s="36">
        <v>52604.48000000001</v>
      </c>
      <c r="L15" s="36">
        <f t="shared" si="1"/>
        <v>61894.2088512</v>
      </c>
      <c r="M15" s="36">
        <f t="shared" si="1"/>
        <v>61275.266762688</v>
      </c>
      <c r="N15" s="36">
        <f t="shared" si="1"/>
        <v>66400</v>
      </c>
    </row>
    <row r="16" spans="1:14" ht="47.25">
      <c r="A16" s="33">
        <v>10</v>
      </c>
      <c r="B16" s="34" t="s">
        <v>30</v>
      </c>
      <c r="C16" s="35" t="s">
        <v>3</v>
      </c>
      <c r="D16" s="36">
        <v>1360963.0429999998</v>
      </c>
      <c r="E16" s="36">
        <v>1502244.4</v>
      </c>
      <c r="F16" s="36">
        <v>1701609.2423999999</v>
      </c>
      <c r="G16" s="36">
        <v>1997766.257854</v>
      </c>
      <c r="H16" s="36">
        <v>1690129.212608329</v>
      </c>
      <c r="I16" s="36">
        <v>1744497.3738217712</v>
      </c>
      <c r="J16" s="36">
        <v>1783521.1301701549</v>
      </c>
      <c r="K16" s="36">
        <v>1804299.0345598804</v>
      </c>
      <c r="L16" s="36">
        <f t="shared" si="1"/>
        <v>1773085.5806399998</v>
      </c>
      <c r="M16" s="36">
        <f t="shared" si="1"/>
        <v>1755354.7248335998</v>
      </c>
      <c r="N16" s="36">
        <f t="shared" si="1"/>
        <v>7785000</v>
      </c>
    </row>
    <row r="17" spans="1:14" ht="15.75">
      <c r="A17" s="33">
        <v>11</v>
      </c>
      <c r="B17" s="34" t="s">
        <v>31</v>
      </c>
      <c r="C17" s="35" t="s">
        <v>380</v>
      </c>
      <c r="D17" s="37">
        <v>2.03</v>
      </c>
      <c r="E17" s="37">
        <v>2.31</v>
      </c>
      <c r="F17" s="37">
        <v>2.81</v>
      </c>
      <c r="G17" s="37">
        <v>3.3</v>
      </c>
      <c r="H17" s="37">
        <v>3.87</v>
      </c>
      <c r="I17" s="37">
        <v>4.3</v>
      </c>
      <c r="J17" s="37">
        <v>4.73</v>
      </c>
      <c r="K17" s="37">
        <v>5.2</v>
      </c>
      <c r="L17" s="37">
        <v>5.73</v>
      </c>
      <c r="M17" s="37">
        <v>6.31</v>
      </c>
      <c r="N17" s="37">
        <v>8.59</v>
      </c>
    </row>
    <row r="18" spans="1:14" ht="15.75">
      <c r="A18" s="33">
        <v>12</v>
      </c>
      <c r="B18" s="34" t="s">
        <v>32</v>
      </c>
      <c r="C18" s="35" t="s">
        <v>33</v>
      </c>
      <c r="D18" s="36">
        <v>1222</v>
      </c>
      <c r="E18" s="36">
        <v>1351</v>
      </c>
      <c r="F18" s="36">
        <v>1656.3</v>
      </c>
      <c r="G18" s="36">
        <v>1879.9</v>
      </c>
      <c r="H18" s="36">
        <v>2208.9</v>
      </c>
      <c r="I18" s="36">
        <v>2429.8</v>
      </c>
      <c r="J18" s="36">
        <v>2672.8</v>
      </c>
      <c r="K18" s="36">
        <v>2940.1</v>
      </c>
      <c r="L18" s="36">
        <v>3234.1</v>
      </c>
      <c r="M18" s="36">
        <v>3557.5</v>
      </c>
      <c r="N18" s="36">
        <v>4851.1</v>
      </c>
    </row>
    <row r="19" spans="1:14" ht="15.75">
      <c r="A19" s="33">
        <v>13</v>
      </c>
      <c r="B19" s="34" t="s">
        <v>34</v>
      </c>
      <c r="C19" s="35" t="s">
        <v>54</v>
      </c>
      <c r="D19" s="36">
        <v>14.5</v>
      </c>
      <c r="E19" s="36">
        <v>17.1</v>
      </c>
      <c r="F19" s="36">
        <v>21</v>
      </c>
      <c r="G19" s="36">
        <v>23.8</v>
      </c>
      <c r="H19" s="36">
        <v>27.8</v>
      </c>
      <c r="I19" s="36">
        <v>30.6</v>
      </c>
      <c r="J19" s="36">
        <v>33.6</v>
      </c>
      <c r="K19" s="36">
        <v>37</v>
      </c>
      <c r="L19" s="36">
        <v>40.7</v>
      </c>
      <c r="M19" s="36">
        <v>44.8</v>
      </c>
      <c r="N19" s="36">
        <v>61</v>
      </c>
    </row>
    <row r="20" spans="1:14" ht="31.5">
      <c r="A20" s="33">
        <v>14</v>
      </c>
      <c r="B20" s="34" t="s">
        <v>35</v>
      </c>
      <c r="C20" s="35" t="s">
        <v>381</v>
      </c>
      <c r="D20" s="36">
        <v>1204</v>
      </c>
      <c r="E20" s="36">
        <v>1594</v>
      </c>
      <c r="F20" s="36">
        <v>2062.6</v>
      </c>
      <c r="G20" s="36">
        <v>2431.8</v>
      </c>
      <c r="H20" s="36">
        <v>2723.7</v>
      </c>
      <c r="I20" s="36">
        <v>3184</v>
      </c>
      <c r="J20" s="36">
        <v>3664.7</v>
      </c>
      <c r="K20" s="36">
        <v>4031.2</v>
      </c>
      <c r="L20" s="36">
        <v>4434.3</v>
      </c>
      <c r="M20" s="36">
        <v>4877.7</v>
      </c>
      <c r="N20" s="36">
        <v>6651.5</v>
      </c>
    </row>
    <row r="21" spans="1:14" ht="63">
      <c r="A21" s="33">
        <v>15</v>
      </c>
      <c r="B21" s="34" t="s">
        <v>36</v>
      </c>
      <c r="C21" s="35" t="s">
        <v>379</v>
      </c>
      <c r="D21" s="36">
        <v>3193</v>
      </c>
      <c r="E21" s="36">
        <v>3159</v>
      </c>
      <c r="F21" s="36">
        <v>3217</v>
      </c>
      <c r="G21" s="36">
        <v>3234</v>
      </c>
      <c r="H21" s="36">
        <v>3170</v>
      </c>
      <c r="I21" s="36">
        <v>3541</v>
      </c>
      <c r="J21" s="36">
        <v>3850</v>
      </c>
      <c r="K21" s="36">
        <v>4158</v>
      </c>
      <c r="L21" s="36">
        <v>4468</v>
      </c>
      <c r="M21" s="36">
        <v>4777</v>
      </c>
      <c r="N21" s="36">
        <v>5532</v>
      </c>
    </row>
    <row r="22" spans="1:14" ht="31.5">
      <c r="A22" s="33">
        <v>16</v>
      </c>
      <c r="B22" s="34" t="s">
        <v>382</v>
      </c>
      <c r="C22" s="35" t="s">
        <v>379</v>
      </c>
      <c r="D22" s="36">
        <v>17041</v>
      </c>
      <c r="E22" s="36">
        <v>20104.4</v>
      </c>
      <c r="F22" s="36">
        <v>16617.3</v>
      </c>
      <c r="G22" s="36">
        <v>23136.7</v>
      </c>
      <c r="H22" s="36">
        <v>25318.6</v>
      </c>
      <c r="I22" s="36">
        <f>29321.8+400</f>
        <v>29721.8</v>
      </c>
      <c r="J22" s="36">
        <f>33222.8+700</f>
        <v>33922.8</v>
      </c>
      <c r="K22" s="36">
        <f>39428.2+1000</f>
        <v>40428.2</v>
      </c>
      <c r="L22" s="36">
        <f>44337.3+1300</f>
        <v>45637.3</v>
      </c>
      <c r="M22" s="36">
        <f>44934.6+1600</f>
        <v>46534.6</v>
      </c>
      <c r="N22" s="36">
        <f>91316.4+1000</f>
        <v>92316.4</v>
      </c>
    </row>
    <row r="23" spans="1:14" ht="47.25">
      <c r="A23" s="33">
        <v>17</v>
      </c>
      <c r="B23" s="34" t="s">
        <v>37</v>
      </c>
      <c r="C23" s="35" t="s">
        <v>222</v>
      </c>
      <c r="D23" s="36">
        <v>423.2</v>
      </c>
      <c r="E23" s="36">
        <v>1348</v>
      </c>
      <c r="F23" s="36">
        <v>331</v>
      </c>
      <c r="G23" s="36">
        <v>736.6</v>
      </c>
      <c r="H23" s="36">
        <v>726.7</v>
      </c>
      <c r="I23" s="36">
        <v>2715</v>
      </c>
      <c r="J23" s="36">
        <v>2763.5</v>
      </c>
      <c r="K23" s="36">
        <v>1669.1</v>
      </c>
      <c r="L23" s="36">
        <v>1533.4</v>
      </c>
      <c r="M23" s="36">
        <v>1577.8</v>
      </c>
      <c r="N23" s="36">
        <v>1580</v>
      </c>
    </row>
    <row r="24" spans="1:14" ht="63">
      <c r="A24" s="33">
        <v>18</v>
      </c>
      <c r="B24" s="34" t="s">
        <v>38</v>
      </c>
      <c r="C24" s="35" t="s">
        <v>222</v>
      </c>
      <c r="D24" s="36">
        <v>408.245</v>
      </c>
      <c r="E24" s="36">
        <v>1337.994</v>
      </c>
      <c r="F24" s="36">
        <v>325.981</v>
      </c>
      <c r="G24" s="36">
        <v>639.64</v>
      </c>
      <c r="H24" s="36">
        <v>276.682</v>
      </c>
      <c r="I24" s="36">
        <v>1875</v>
      </c>
      <c r="J24" s="36">
        <v>1918.8</v>
      </c>
      <c r="K24" s="36">
        <v>832.1</v>
      </c>
      <c r="L24" s="36">
        <v>734.7</v>
      </c>
      <c r="M24" s="36">
        <v>745.3</v>
      </c>
      <c r="N24" s="36">
        <v>696.5</v>
      </c>
    </row>
    <row r="25" spans="1:14" ht="47.25">
      <c r="A25" s="33">
        <v>19</v>
      </c>
      <c r="B25" s="34" t="s">
        <v>39</v>
      </c>
      <c r="C25" s="35" t="s">
        <v>383</v>
      </c>
      <c r="D25" s="36">
        <v>327663.6</v>
      </c>
      <c r="E25" s="36">
        <v>328968.5</v>
      </c>
      <c r="F25" s="36">
        <v>319338.6</v>
      </c>
      <c r="G25" s="36">
        <v>285241.744</v>
      </c>
      <c r="H25" s="36">
        <v>280963.11783999996</v>
      </c>
      <c r="I25" s="36">
        <v>277601.07971019996</v>
      </c>
      <c r="J25" s="36">
        <v>274276.68602277996</v>
      </c>
      <c r="K25" s="36">
        <f>K26</f>
        <v>275676.05686983495</v>
      </c>
      <c r="L25" s="36">
        <v>271540.9160167874</v>
      </c>
      <c r="M25" s="36">
        <v>267467.8022765356</v>
      </c>
      <c r="N25" s="36">
        <v>263455.78524238756</v>
      </c>
    </row>
    <row r="26" spans="1:14" ht="15.75">
      <c r="A26" s="33">
        <v>20</v>
      </c>
      <c r="B26" s="34" t="s">
        <v>40</v>
      </c>
      <c r="C26" s="35" t="s">
        <v>383</v>
      </c>
      <c r="D26" s="36">
        <v>339900</v>
      </c>
      <c r="E26" s="36">
        <v>340900</v>
      </c>
      <c r="F26" s="36">
        <v>328200</v>
      </c>
      <c r="G26" s="36">
        <v>292856</v>
      </c>
      <c r="H26" s="36">
        <v>288463.16</v>
      </c>
      <c r="I26" s="36">
        <v>284136.21259999997</v>
      </c>
      <c r="J26" s="36">
        <v>279874.169411</v>
      </c>
      <c r="K26" s="36">
        <v>275676.05686983495</v>
      </c>
      <c r="L26" s="36">
        <v>271540.9160167874</v>
      </c>
      <c r="M26" s="36">
        <v>267467.8022765356</v>
      </c>
      <c r="N26" s="36">
        <v>263455.78524238756</v>
      </c>
    </row>
    <row r="27" spans="1:14" ht="47.25">
      <c r="A27" s="33">
        <v>21</v>
      </c>
      <c r="B27" s="34" t="s">
        <v>41</v>
      </c>
      <c r="C27" s="35" t="s">
        <v>364</v>
      </c>
      <c r="D27" s="36">
        <v>1000.658</v>
      </c>
      <c r="E27" s="36">
        <v>1011.465</v>
      </c>
      <c r="F27" s="36">
        <v>1004.75</v>
      </c>
      <c r="G27" s="36">
        <v>1160.011</v>
      </c>
      <c r="H27" s="36">
        <v>1188.90184</v>
      </c>
      <c r="I27" s="36">
        <v>1235.6086979999998</v>
      </c>
      <c r="J27" s="36">
        <v>1398.2971765699997</v>
      </c>
      <c r="K27" s="36">
        <v>1618.151220276</v>
      </c>
      <c r="L27" s="36">
        <f>L28</f>
        <v>1802.8045740777495</v>
      </c>
      <c r="M27" s="36">
        <v>1712.664345373862</v>
      </c>
      <c r="N27" s="36">
        <v>1455.7646935677826</v>
      </c>
    </row>
    <row r="28" spans="1:14" ht="15.75">
      <c r="A28" s="33">
        <v>22</v>
      </c>
      <c r="B28" s="34" t="s">
        <v>42</v>
      </c>
      <c r="C28" s="35" t="s">
        <v>364</v>
      </c>
      <c r="D28" s="36">
        <v>2038</v>
      </c>
      <c r="E28" s="36">
        <v>2047.5</v>
      </c>
      <c r="F28" s="36">
        <v>2009.5</v>
      </c>
      <c r="G28" s="36">
        <v>2188.7</v>
      </c>
      <c r="H28" s="36">
        <v>2123.0389999999998</v>
      </c>
      <c r="I28" s="36">
        <v>2059.3478299999997</v>
      </c>
      <c r="J28" s="36">
        <v>1997.5673950999997</v>
      </c>
      <c r="K28" s="36">
        <v>1897.6890253449997</v>
      </c>
      <c r="L28" s="36">
        <v>1802.8045740777495</v>
      </c>
      <c r="M28" s="36">
        <v>1712.664345373862</v>
      </c>
      <c r="N28" s="36">
        <v>1455.7646935677826</v>
      </c>
    </row>
    <row r="29" spans="1:14" ht="47.25">
      <c r="A29" s="33">
        <v>23</v>
      </c>
      <c r="B29" s="34" t="s">
        <v>43</v>
      </c>
      <c r="C29" s="35" t="s">
        <v>365</v>
      </c>
      <c r="D29" s="36">
        <v>1948.0765</v>
      </c>
      <c r="E29" s="36">
        <v>2140.11</v>
      </c>
      <c r="F29" s="36">
        <v>2623.7120000000004</v>
      </c>
      <c r="G29" s="36">
        <v>3087</v>
      </c>
      <c r="H29" s="36">
        <v>3120</v>
      </c>
      <c r="I29" s="36">
        <v>4150</v>
      </c>
      <c r="J29" s="36">
        <v>4156</v>
      </c>
      <c r="K29" s="36">
        <v>4168</v>
      </c>
      <c r="L29" s="36">
        <f>L30</f>
        <v>5300</v>
      </c>
      <c r="M29" s="36">
        <f>M30</f>
        <v>5350</v>
      </c>
      <c r="N29" s="36">
        <v>6000</v>
      </c>
    </row>
    <row r="30" spans="1:14" ht="15.75">
      <c r="A30" s="33">
        <v>24</v>
      </c>
      <c r="B30" s="34" t="s">
        <v>44</v>
      </c>
      <c r="C30" s="35" t="s">
        <v>365</v>
      </c>
      <c r="D30" s="36">
        <v>4377.7</v>
      </c>
      <c r="E30" s="36">
        <v>4755.8</v>
      </c>
      <c r="F30" s="36">
        <v>5045.6</v>
      </c>
      <c r="G30" s="36">
        <v>5145</v>
      </c>
      <c r="H30" s="36">
        <v>5200</v>
      </c>
      <c r="I30" s="36">
        <v>5250</v>
      </c>
      <c r="J30" s="36">
        <v>5260</v>
      </c>
      <c r="K30" s="36">
        <v>5280</v>
      </c>
      <c r="L30" s="36">
        <v>5300</v>
      </c>
      <c r="M30" s="36">
        <v>5350</v>
      </c>
      <c r="N30" s="36">
        <v>6000</v>
      </c>
    </row>
    <row r="31" spans="1:14" ht="47.25">
      <c r="A31" s="33">
        <v>25</v>
      </c>
      <c r="B31" s="34" t="s">
        <v>45</v>
      </c>
      <c r="C31" s="35" t="s">
        <v>365</v>
      </c>
      <c r="D31" s="36">
        <v>128762.94299999998</v>
      </c>
      <c r="E31" s="36">
        <v>130583.4</v>
      </c>
      <c r="F31" s="36">
        <v>135079.54239999998</v>
      </c>
      <c r="G31" s="36">
        <v>138674.257854</v>
      </c>
      <c r="H31" s="36">
        <v>142327.35966284</v>
      </c>
      <c r="I31" s="38">
        <v>166039.656082071</v>
      </c>
      <c r="J31" s="38">
        <v>187962.435253058</v>
      </c>
      <c r="K31" s="38">
        <v>203452.252693612</v>
      </c>
      <c r="L31" s="38">
        <f>L32</f>
        <v>235838.25031506937</v>
      </c>
      <c r="M31" s="38">
        <f>M32</f>
        <v>238196.63281822007</v>
      </c>
      <c r="N31" s="38">
        <v>228668.76750549127</v>
      </c>
    </row>
    <row r="32" spans="1:14" ht="15.75">
      <c r="A32" s="33">
        <v>26</v>
      </c>
      <c r="B32" s="34" t="s">
        <v>46</v>
      </c>
      <c r="C32" s="35" t="s">
        <v>365</v>
      </c>
      <c r="D32" s="36">
        <v>225899.9</v>
      </c>
      <c r="E32" s="36">
        <v>217639</v>
      </c>
      <c r="F32" s="36">
        <v>222170.3</v>
      </c>
      <c r="G32" s="36">
        <v>225708</v>
      </c>
      <c r="H32" s="36">
        <v>226635.92303</v>
      </c>
      <c r="I32" s="36">
        <v>228902.2822603</v>
      </c>
      <c r="J32" s="36">
        <v>231191.305082903</v>
      </c>
      <c r="K32" s="36">
        <v>233503.21813373204</v>
      </c>
      <c r="L32" s="36">
        <v>235838.25031506937</v>
      </c>
      <c r="M32" s="36">
        <v>238196.63281822007</v>
      </c>
      <c r="N32" s="36">
        <v>228668.76750549127</v>
      </c>
    </row>
    <row r="33" spans="1:14" ht="15.75">
      <c r="A33" s="33">
        <v>27</v>
      </c>
      <c r="B33" s="34" t="s">
        <v>384</v>
      </c>
      <c r="C33" s="35" t="s">
        <v>219</v>
      </c>
      <c r="D33" s="36">
        <v>51.421</v>
      </c>
      <c r="E33" s="36">
        <v>70.65</v>
      </c>
      <c r="F33" s="36">
        <v>79.142867</v>
      </c>
      <c r="G33" s="36">
        <v>84.035</v>
      </c>
      <c r="H33" s="36">
        <v>89.22953505083407</v>
      </c>
      <c r="I33" s="36">
        <v>94.74516481689804</v>
      </c>
      <c r="J33" s="36">
        <v>100.60173742995723</v>
      </c>
      <c r="K33" s="36">
        <v>106.82032791314542</v>
      </c>
      <c r="L33" s="36">
        <v>113.4233140199631</v>
      </c>
      <c r="M33" s="36">
        <v>120.4</v>
      </c>
      <c r="N33" s="36">
        <v>146.4</v>
      </c>
    </row>
    <row r="34" spans="1:14" ht="31.5">
      <c r="A34" s="33">
        <v>28</v>
      </c>
      <c r="B34" s="34" t="s">
        <v>385</v>
      </c>
      <c r="C34" s="35" t="s">
        <v>222</v>
      </c>
      <c r="D34" s="36">
        <v>3515.8931295999996</v>
      </c>
      <c r="E34" s="36">
        <v>3981.8922460000003</v>
      </c>
      <c r="F34" s="36">
        <v>4814.78291078</v>
      </c>
      <c r="G34" s="36">
        <v>5752.2896444</v>
      </c>
      <c r="H34" s="36">
        <v>6567.781539856811</v>
      </c>
      <c r="I34" s="36">
        <v>7115.063938230795</v>
      </c>
      <c r="J34" s="36">
        <v>7686.885730674624</v>
      </c>
      <c r="K34" s="36">
        <v>8149.569172080676</v>
      </c>
      <c r="L34" s="36">
        <v>8647.867275173154</v>
      </c>
      <c r="M34" s="36">
        <v>9182.056956929884</v>
      </c>
      <c r="N34" s="36">
        <v>11212.135607261554</v>
      </c>
    </row>
    <row r="35" spans="1:14" ht="47.25">
      <c r="A35" s="33">
        <v>29</v>
      </c>
      <c r="B35" s="34" t="s">
        <v>386</v>
      </c>
      <c r="C35" s="35" t="s">
        <v>222</v>
      </c>
      <c r="D35" s="36">
        <v>3501</v>
      </c>
      <c r="E35" s="36">
        <v>5690</v>
      </c>
      <c r="F35" s="36">
        <v>6869</v>
      </c>
      <c r="G35" s="36">
        <v>8522</v>
      </c>
      <c r="H35" s="36">
        <v>10354</v>
      </c>
      <c r="I35" s="36">
        <v>11216.781735107434</v>
      </c>
      <c r="J35" s="36">
        <v>12118.249422945979</v>
      </c>
      <c r="K35" s="36">
        <v>12847.662288347516</v>
      </c>
      <c r="L35" s="36">
        <v>13633.221084435607</v>
      </c>
      <c r="M35" s="36">
        <v>14475.36236628917</v>
      </c>
      <c r="N35" s="36">
        <v>17675.748100494387</v>
      </c>
    </row>
    <row r="36" spans="1:14" ht="15.75">
      <c r="A36" s="33">
        <v>30</v>
      </c>
      <c r="B36" s="34" t="s">
        <v>47</v>
      </c>
      <c r="C36" s="35" t="s">
        <v>48</v>
      </c>
      <c r="D36" s="36">
        <v>1352</v>
      </c>
      <c r="E36" s="36">
        <v>1352</v>
      </c>
      <c r="F36" s="36">
        <v>1352</v>
      </c>
      <c r="G36" s="36">
        <v>1352</v>
      </c>
      <c r="H36" s="36">
        <v>1352</v>
      </c>
      <c r="I36" s="36">
        <v>1352</v>
      </c>
      <c r="J36" s="36">
        <v>1352</v>
      </c>
      <c r="K36" s="36">
        <v>1352</v>
      </c>
      <c r="L36" s="36">
        <v>1352</v>
      </c>
      <c r="M36" s="36">
        <v>1352</v>
      </c>
      <c r="N36" s="36">
        <v>1352</v>
      </c>
    </row>
    <row r="37" spans="1:14" ht="63">
      <c r="A37" s="33">
        <v>31</v>
      </c>
      <c r="B37" s="34" t="s">
        <v>387</v>
      </c>
      <c r="C37" s="35" t="s">
        <v>48</v>
      </c>
      <c r="D37" s="36">
        <v>0</v>
      </c>
      <c r="E37" s="36">
        <v>0</v>
      </c>
      <c r="F37" s="36">
        <v>0</v>
      </c>
      <c r="G37" s="36">
        <v>0</v>
      </c>
      <c r="H37" s="36">
        <v>14</v>
      </c>
      <c r="I37" s="36">
        <v>29</v>
      </c>
      <c r="J37" s="36">
        <v>75</v>
      </c>
      <c r="K37" s="36">
        <v>125</v>
      </c>
      <c r="L37" s="36">
        <v>160</v>
      </c>
      <c r="M37" s="36">
        <v>179</v>
      </c>
      <c r="N37" s="36">
        <v>179</v>
      </c>
    </row>
    <row r="38" spans="1:14" ht="47.25">
      <c r="A38" s="33">
        <v>32</v>
      </c>
      <c r="B38" s="34" t="s">
        <v>14</v>
      </c>
      <c r="C38" s="35" t="s">
        <v>48</v>
      </c>
      <c r="D38" s="36">
        <v>0</v>
      </c>
      <c r="E38" s="36">
        <v>0</v>
      </c>
      <c r="F38" s="36">
        <v>0</v>
      </c>
      <c r="G38" s="36">
        <v>0</v>
      </c>
      <c r="H38" s="36">
        <v>50</v>
      </c>
      <c r="I38" s="36">
        <v>240</v>
      </c>
      <c r="J38" s="36">
        <v>280</v>
      </c>
      <c r="K38" s="36">
        <v>320</v>
      </c>
      <c r="L38" s="36">
        <v>488</v>
      </c>
      <c r="M38" s="36">
        <v>488</v>
      </c>
      <c r="N38" s="36">
        <v>488</v>
      </c>
    </row>
    <row r="39" spans="1:14" ht="31.5">
      <c r="A39" s="33">
        <v>33</v>
      </c>
      <c r="B39" s="34" t="s">
        <v>49</v>
      </c>
      <c r="C39" s="35" t="s">
        <v>48</v>
      </c>
      <c r="D39" s="36">
        <v>51</v>
      </c>
      <c r="E39" s="36">
        <v>488</v>
      </c>
      <c r="F39" s="36">
        <v>488</v>
      </c>
      <c r="G39" s="36">
        <v>488</v>
      </c>
      <c r="H39" s="36">
        <v>488</v>
      </c>
      <c r="I39" s="36">
        <v>488</v>
      </c>
      <c r="J39" s="36">
        <v>488</v>
      </c>
      <c r="K39" s="36">
        <v>488</v>
      </c>
      <c r="L39" s="36">
        <v>488</v>
      </c>
      <c r="M39" s="36">
        <v>488</v>
      </c>
      <c r="N39" s="36">
        <v>488</v>
      </c>
    </row>
    <row r="40" spans="1:14" ht="47.25">
      <c r="A40" s="33">
        <v>34</v>
      </c>
      <c r="B40" s="34" t="s">
        <v>220</v>
      </c>
      <c r="C40" s="35" t="s">
        <v>48</v>
      </c>
      <c r="D40" s="36">
        <v>0</v>
      </c>
      <c r="E40" s="36">
        <v>0</v>
      </c>
      <c r="F40" s="36">
        <v>0</v>
      </c>
      <c r="G40" s="36">
        <v>0</v>
      </c>
      <c r="H40" s="36">
        <v>40</v>
      </c>
      <c r="I40" s="36">
        <v>160</v>
      </c>
      <c r="J40" s="36">
        <v>220</v>
      </c>
      <c r="K40" s="36">
        <v>260</v>
      </c>
      <c r="L40" s="36">
        <v>488</v>
      </c>
      <c r="M40" s="36">
        <v>488</v>
      </c>
      <c r="N40" s="36">
        <v>488</v>
      </c>
    </row>
    <row r="41" spans="1:14" ht="31.5">
      <c r="A41" s="33">
        <v>35</v>
      </c>
      <c r="B41" s="34" t="s">
        <v>50</v>
      </c>
      <c r="C41" s="35" t="s">
        <v>222</v>
      </c>
      <c r="D41" s="36">
        <v>16568.574</v>
      </c>
      <c r="E41" s="39">
        <v>22684.247</v>
      </c>
      <c r="F41" s="36">
        <v>26827.984</v>
      </c>
      <c r="G41" s="36">
        <v>28437.663040000003</v>
      </c>
      <c r="H41" s="36">
        <v>30143.922822400003</v>
      </c>
      <c r="I41" s="36">
        <v>31952.558191744007</v>
      </c>
      <c r="J41" s="36">
        <v>33869.71168324865</v>
      </c>
      <c r="K41" s="36">
        <v>35901.89438424357</v>
      </c>
      <c r="L41" s="36">
        <v>38056.008047298186</v>
      </c>
      <c r="M41" s="36">
        <v>40339.36853013608</v>
      </c>
      <c r="N41" s="36">
        <v>49472.81046148764</v>
      </c>
    </row>
    <row r="42" spans="1:14" ht="63">
      <c r="A42" s="33">
        <v>36</v>
      </c>
      <c r="B42" s="34" t="s">
        <v>51</v>
      </c>
      <c r="C42" s="35" t="s">
        <v>222</v>
      </c>
      <c r="D42" s="39">
        <v>0</v>
      </c>
      <c r="E42" s="39">
        <v>0</v>
      </c>
      <c r="F42" s="39">
        <v>0</v>
      </c>
      <c r="G42" s="36">
        <v>0</v>
      </c>
      <c r="H42" s="36">
        <v>10550.37298784</v>
      </c>
      <c r="I42" s="36">
        <v>12781.023276697604</v>
      </c>
      <c r="J42" s="36">
        <v>15241.370257461893</v>
      </c>
      <c r="K42" s="36">
        <v>17950.947192121785</v>
      </c>
      <c r="L42" s="36">
        <v>25930.804426014</v>
      </c>
      <c r="M42" s="36">
        <f>M41</f>
        <v>40339.36853013608</v>
      </c>
      <c r="N42" s="36">
        <v>49472.81046148764</v>
      </c>
    </row>
    <row r="43" spans="1:14" ht="63">
      <c r="A43" s="33">
        <v>37</v>
      </c>
      <c r="B43" s="34" t="s">
        <v>388</v>
      </c>
      <c r="C43" s="35" t="s">
        <v>389</v>
      </c>
      <c r="D43" s="36">
        <v>959.0871</v>
      </c>
      <c r="E43" s="36">
        <v>1197.0277</v>
      </c>
      <c r="F43" s="36">
        <v>1902.7082</v>
      </c>
      <c r="G43" s="36">
        <v>2114.4549860910342</v>
      </c>
      <c r="H43" s="36">
        <v>2353.0323943430917</v>
      </c>
      <c r="I43" s="36">
        <v>2618.5119270789</v>
      </c>
      <c r="J43" s="36">
        <v>2921.3022910324908</v>
      </c>
      <c r="K43" s="36">
        <v>3259.022540738217</v>
      </c>
      <c r="L43" s="36">
        <v>3635.6934876577093</v>
      </c>
      <c r="M43" s="36">
        <v>4075.9759690130586</v>
      </c>
      <c r="N43" s="36">
        <v>4913.585753121558</v>
      </c>
    </row>
    <row r="44" spans="1:14" ht="63">
      <c r="A44" s="33">
        <v>38</v>
      </c>
      <c r="B44" s="34" t="s">
        <v>52</v>
      </c>
      <c r="C44" s="35" t="s">
        <v>390</v>
      </c>
      <c r="D44" s="36">
        <v>211.689</v>
      </c>
      <c r="E44" s="36">
        <v>220.617</v>
      </c>
      <c r="F44" s="36">
        <v>195.773</v>
      </c>
      <c r="G44" s="36">
        <v>196</v>
      </c>
      <c r="H44" s="36">
        <v>196.5</v>
      </c>
      <c r="I44" s="36">
        <v>197</v>
      </c>
      <c r="J44" s="36">
        <v>198</v>
      </c>
      <c r="K44" s="36">
        <v>199</v>
      </c>
      <c r="L44" s="36">
        <v>200</v>
      </c>
      <c r="M44" s="36">
        <v>202</v>
      </c>
      <c r="N44" s="36">
        <v>210</v>
      </c>
    </row>
    <row r="45" spans="1:14" ht="47.25">
      <c r="A45" s="33">
        <v>39</v>
      </c>
      <c r="B45" s="34" t="s">
        <v>68</v>
      </c>
      <c r="C45" s="35" t="s">
        <v>362</v>
      </c>
      <c r="D45" s="36">
        <v>203845.19417501602</v>
      </c>
      <c r="E45" s="36">
        <v>175247.44006179005</v>
      </c>
      <c r="F45" s="36">
        <v>213259.232510783</v>
      </c>
      <c r="G45" s="36">
        <v>226061.32621203398</v>
      </c>
      <c r="H45" s="36">
        <v>231458.68005663797</v>
      </c>
      <c r="I45" s="36">
        <v>236923.30276144703</v>
      </c>
      <c r="J45" s="36">
        <v>242455.92336832895</v>
      </c>
      <c r="K45" s="36">
        <v>248057.27844843094</v>
      </c>
      <c r="L45" s="36">
        <v>253728.11217848002</v>
      </c>
      <c r="M45" s="36">
        <v>259469.17641785752</v>
      </c>
      <c r="N45" s="64">
        <v>290936.367433188</v>
      </c>
    </row>
    <row r="46" spans="1:14" ht="78.75">
      <c r="A46" s="33">
        <v>40</v>
      </c>
      <c r="B46" s="34" t="s">
        <v>67</v>
      </c>
      <c r="C46" s="35" t="s">
        <v>362</v>
      </c>
      <c r="D46" s="36">
        <v>187537.57864101476</v>
      </c>
      <c r="E46" s="36">
        <v>161227.64485684686</v>
      </c>
      <c r="F46" s="36">
        <v>198331.0862350282</v>
      </c>
      <c r="G46" s="36">
        <v>212497.64663931192</v>
      </c>
      <c r="H46" s="36">
        <v>225440.7543751654</v>
      </c>
      <c r="I46" s="36">
        <v>231474.06679793374</v>
      </c>
      <c r="J46" s="36">
        <v>237606.80490096236</v>
      </c>
      <c r="K46" s="36">
        <f>K45</f>
        <v>248057.27844843094</v>
      </c>
      <c r="L46" s="36">
        <v>253728.11217848002</v>
      </c>
      <c r="M46" s="36">
        <v>259469.17641785752</v>
      </c>
      <c r="N46" s="36">
        <v>290936.367433188</v>
      </c>
    </row>
    <row r="47" spans="1:14" ht="31.5">
      <c r="A47" s="33">
        <v>41</v>
      </c>
      <c r="B47" s="34" t="s">
        <v>66</v>
      </c>
      <c r="C47" s="35" t="s">
        <v>362</v>
      </c>
      <c r="D47" s="36">
        <v>535754.805824984</v>
      </c>
      <c r="E47" s="36">
        <v>539852.55993821</v>
      </c>
      <c r="F47" s="36">
        <v>542140.767489217</v>
      </c>
      <c r="G47" s="36">
        <v>544438.673787966</v>
      </c>
      <c r="H47" s="36">
        <v>546746.319943362</v>
      </c>
      <c r="I47" s="36">
        <v>549063.747238553</v>
      </c>
      <c r="J47" s="36">
        <v>551390.997131671</v>
      </c>
      <c r="K47" s="36">
        <v>553728.111256569</v>
      </c>
      <c r="L47" s="36">
        <v>556075.13142357</v>
      </c>
      <c r="M47" s="36">
        <v>558432.099620213</v>
      </c>
      <c r="N47" s="64">
        <v>567859.972406786</v>
      </c>
    </row>
    <row r="48" spans="1:14" ht="78.75">
      <c r="A48" s="33">
        <v>42</v>
      </c>
      <c r="B48" s="34" t="s">
        <v>53</v>
      </c>
      <c r="C48" s="35" t="s">
        <v>362</v>
      </c>
      <c r="D48" s="40">
        <v>53575.4805824984</v>
      </c>
      <c r="E48" s="40">
        <v>48586.73039443889</v>
      </c>
      <c r="F48" s="40">
        <v>46136.179313332366</v>
      </c>
      <c r="G48" s="40">
        <v>44099.53257682525</v>
      </c>
      <c r="H48" s="41">
        <v>88200</v>
      </c>
      <c r="I48" s="41">
        <v>132300</v>
      </c>
      <c r="J48" s="41">
        <v>264300</v>
      </c>
      <c r="K48" s="41">
        <f>K47</f>
        <v>553728.111256569</v>
      </c>
      <c r="L48" s="41">
        <v>556075.13142357</v>
      </c>
      <c r="M48" s="41">
        <v>558432.099620213</v>
      </c>
      <c r="N48" s="41">
        <v>567859.972406786</v>
      </c>
    </row>
    <row r="49" spans="1:14" ht="78.75">
      <c r="A49" s="33">
        <v>43</v>
      </c>
      <c r="B49" s="34" t="s">
        <v>221</v>
      </c>
      <c r="C49" s="35" t="s">
        <v>362</v>
      </c>
      <c r="D49" s="36">
        <v>482179.32524248556</v>
      </c>
      <c r="E49" s="36">
        <v>491265.82954377105</v>
      </c>
      <c r="F49" s="36">
        <v>496004.5881758846</v>
      </c>
      <c r="G49" s="36">
        <v>500339.1412111408</v>
      </c>
      <c r="H49" s="36">
        <v>508474.077547326</v>
      </c>
      <c r="I49" s="36">
        <v>516119.92240424</v>
      </c>
      <c r="J49" s="41">
        <v>540363.1771890377</v>
      </c>
      <c r="K49" s="41">
        <f>K48</f>
        <v>553728.111256569</v>
      </c>
      <c r="L49" s="41">
        <v>556075.13142357</v>
      </c>
      <c r="M49" s="41">
        <v>558432.099620213</v>
      </c>
      <c r="N49" s="36">
        <v>567859.972406786</v>
      </c>
    </row>
    <row r="50" spans="1:14" ht="47.25">
      <c r="A50" s="33">
        <v>44</v>
      </c>
      <c r="B50" s="34" t="s">
        <v>65</v>
      </c>
      <c r="C50" s="35" t="s">
        <v>364</v>
      </c>
      <c r="D50" s="36">
        <v>1962.7053679455594</v>
      </c>
      <c r="E50" s="36">
        <v>1950</v>
      </c>
      <c r="F50" s="36">
        <v>1948</v>
      </c>
      <c r="G50" s="36">
        <v>1930</v>
      </c>
      <c r="H50" s="36">
        <v>1936</v>
      </c>
      <c r="I50" s="36">
        <v>1930</v>
      </c>
      <c r="J50" s="36">
        <v>1928</v>
      </c>
      <c r="K50" s="36">
        <v>1920</v>
      </c>
      <c r="L50" s="36">
        <v>1914</v>
      </c>
      <c r="M50" s="36">
        <v>1912</v>
      </c>
      <c r="N50" s="64">
        <v>1900</v>
      </c>
    </row>
    <row r="51" spans="1:14" ht="63">
      <c r="A51" s="33">
        <v>45</v>
      </c>
      <c r="B51" s="34" t="s">
        <v>64</v>
      </c>
      <c r="C51" s="35" t="s">
        <v>364</v>
      </c>
      <c r="D51" s="36">
        <v>98.13526839727797</v>
      </c>
      <c r="E51" s="36">
        <v>97.5</v>
      </c>
      <c r="F51" s="36">
        <v>97.4</v>
      </c>
      <c r="G51" s="36">
        <v>96.5</v>
      </c>
      <c r="H51" s="36">
        <v>135.52</v>
      </c>
      <c r="I51" s="36">
        <v>173.7</v>
      </c>
      <c r="J51" s="36">
        <v>612.08</v>
      </c>
      <c r="K51" s="36">
        <v>849.6</v>
      </c>
      <c r="L51" s="36">
        <f>L50</f>
        <v>1914</v>
      </c>
      <c r="M51" s="36">
        <f>M50</f>
        <v>1912</v>
      </c>
      <c r="N51" s="36">
        <v>1900</v>
      </c>
    </row>
    <row r="52" spans="1:14" ht="31.5">
      <c r="A52" s="33">
        <v>46</v>
      </c>
      <c r="B52" s="34" t="s">
        <v>63</v>
      </c>
      <c r="C52" s="35" t="s">
        <v>364</v>
      </c>
      <c r="D52" s="36">
        <v>3433.5</v>
      </c>
      <c r="E52" s="36">
        <v>3358.9</v>
      </c>
      <c r="F52" s="36">
        <v>3359.9</v>
      </c>
      <c r="G52" s="36">
        <v>3314.6</v>
      </c>
      <c r="H52" s="36">
        <v>3294</v>
      </c>
      <c r="I52" s="36">
        <v>3280</v>
      </c>
      <c r="J52" s="36">
        <v>3272</v>
      </c>
      <c r="K52" s="36">
        <v>3240</v>
      </c>
      <c r="L52" s="36">
        <v>3236</v>
      </c>
      <c r="M52" s="36">
        <v>3226</v>
      </c>
      <c r="N52" s="64">
        <v>3100</v>
      </c>
    </row>
    <row r="53" spans="1:14" ht="78.75">
      <c r="A53" s="33">
        <v>47</v>
      </c>
      <c r="B53" s="34" t="s">
        <v>10</v>
      </c>
      <c r="C53" s="35" t="s">
        <v>364</v>
      </c>
      <c r="D53" s="40">
        <v>343.35</v>
      </c>
      <c r="E53" s="40">
        <v>302.301</v>
      </c>
      <c r="F53" s="40">
        <v>285.92749</v>
      </c>
      <c r="G53" s="40">
        <v>268.4826</v>
      </c>
      <c r="H53" s="41">
        <v>494.09999999999997</v>
      </c>
      <c r="I53" s="41">
        <v>656</v>
      </c>
      <c r="J53" s="41">
        <v>1945.2</v>
      </c>
      <c r="K53" s="41">
        <v>2620</v>
      </c>
      <c r="L53" s="41">
        <f>L52</f>
        <v>3236</v>
      </c>
      <c r="M53" s="41">
        <v>3226</v>
      </c>
      <c r="N53" s="41">
        <v>3100</v>
      </c>
    </row>
    <row r="54" spans="1:14" ht="47.25">
      <c r="A54" s="33">
        <v>48</v>
      </c>
      <c r="B54" s="34" t="s">
        <v>62</v>
      </c>
      <c r="C54" s="35" t="s">
        <v>365</v>
      </c>
      <c r="D54" s="36">
        <v>15195.936808921566</v>
      </c>
      <c r="E54" s="36">
        <v>14144.720081681022</v>
      </c>
      <c r="F54" s="36">
        <v>14261.935356555381</v>
      </c>
      <c r="G54" s="36">
        <v>14380.121977669505</v>
      </c>
      <c r="H54" s="36">
        <v>14200</v>
      </c>
      <c r="I54" s="36">
        <v>14220</v>
      </c>
      <c r="J54" s="36">
        <v>14300</v>
      </c>
      <c r="K54" s="36">
        <v>14418.502057377167</v>
      </c>
      <c r="L54" s="36">
        <v>14537.986124376896</v>
      </c>
      <c r="M54" s="36">
        <v>14658.460338772657</v>
      </c>
      <c r="N54" s="64">
        <v>15140.357196355699</v>
      </c>
    </row>
    <row r="55" spans="1:14" ht="78.75">
      <c r="A55" s="33">
        <v>49</v>
      </c>
      <c r="B55" s="34" t="s">
        <v>61</v>
      </c>
      <c r="C55" s="35" t="s">
        <v>365</v>
      </c>
      <c r="D55" s="36">
        <v>1300</v>
      </c>
      <c r="E55" s="36">
        <v>1350</v>
      </c>
      <c r="F55" s="36">
        <v>1400</v>
      </c>
      <c r="G55" s="36">
        <v>1410</v>
      </c>
      <c r="H55" s="36">
        <v>1420</v>
      </c>
      <c r="I55" s="36">
        <v>1430</v>
      </c>
      <c r="J55" s="36">
        <v>4440</v>
      </c>
      <c r="K55" s="36">
        <v>7500</v>
      </c>
      <c r="L55" s="36">
        <f>L54</f>
        <v>14537.986124376896</v>
      </c>
      <c r="M55" s="36">
        <f>M54</f>
        <v>14658.460338772657</v>
      </c>
      <c r="N55" s="36">
        <f>N54</f>
        <v>15140.357196355699</v>
      </c>
    </row>
    <row r="56" spans="1:14" ht="31.5">
      <c r="A56" s="33">
        <v>50</v>
      </c>
      <c r="B56" s="34" t="s">
        <v>69</v>
      </c>
      <c r="C56" s="35" t="s">
        <v>365</v>
      </c>
      <c r="D56" s="36">
        <v>25751.763191078433</v>
      </c>
      <c r="E56" s="36">
        <v>23874.07991831898</v>
      </c>
      <c r="F56" s="36">
        <v>24071.92100841043</v>
      </c>
      <c r="G56" s="36">
        <v>24500</v>
      </c>
      <c r="H56" s="36">
        <v>25000</v>
      </c>
      <c r="I56" s="36">
        <v>25200</v>
      </c>
      <c r="J56" s="36">
        <v>25400</v>
      </c>
      <c r="K56" s="36">
        <v>25000</v>
      </c>
      <c r="L56" s="36">
        <v>25207.171428981062</v>
      </c>
      <c r="M56" s="36">
        <v>25416.059658001566</v>
      </c>
      <c r="N56" s="64">
        <v>26251.612574083585</v>
      </c>
    </row>
    <row r="57" spans="1:14" ht="78.75">
      <c r="A57" s="33">
        <v>51</v>
      </c>
      <c r="B57" s="34" t="s">
        <v>60</v>
      </c>
      <c r="C57" s="35" t="s">
        <v>365</v>
      </c>
      <c r="D57" s="36">
        <v>1802.6234233754906</v>
      </c>
      <c r="E57" s="36">
        <v>2387.407991831898</v>
      </c>
      <c r="F57" s="36">
        <v>2500</v>
      </c>
      <c r="G57" s="36">
        <v>2750</v>
      </c>
      <c r="H57" s="36">
        <v>2900</v>
      </c>
      <c r="I57" s="40">
        <v>3000</v>
      </c>
      <c r="J57" s="40">
        <v>7400</v>
      </c>
      <c r="K57" s="40">
        <v>14000</v>
      </c>
      <c r="L57" s="40">
        <f>L56</f>
        <v>25207.171428981062</v>
      </c>
      <c r="M57" s="40">
        <f>M56</f>
        <v>25416.059658001566</v>
      </c>
      <c r="N57" s="40">
        <v>26251.612574083585</v>
      </c>
    </row>
    <row r="58" spans="1:14" ht="95.25" customHeight="1">
      <c r="A58" s="33">
        <v>52</v>
      </c>
      <c r="B58" s="34" t="s">
        <v>59</v>
      </c>
      <c r="C58" s="35" t="s">
        <v>365</v>
      </c>
      <c r="D58" s="36">
        <v>1982.8857657130397</v>
      </c>
      <c r="E58" s="36">
        <v>2626.148791015088</v>
      </c>
      <c r="F58" s="36">
        <v>2750</v>
      </c>
      <c r="G58" s="36">
        <v>3025.0000000000005</v>
      </c>
      <c r="H58" s="36">
        <v>3190.0000000000005</v>
      </c>
      <c r="I58" s="36">
        <v>3300.0000000000005</v>
      </c>
      <c r="J58" s="36">
        <v>7000</v>
      </c>
      <c r="K58" s="36">
        <v>12000</v>
      </c>
      <c r="L58" s="36">
        <f>L57</f>
        <v>25207.171428981062</v>
      </c>
      <c r="M58" s="40">
        <f>M57</f>
        <v>25416.059658001566</v>
      </c>
      <c r="N58" s="40">
        <v>26251.612574083585</v>
      </c>
    </row>
    <row r="59" spans="1:14" ht="47.25">
      <c r="A59" s="33">
        <v>53</v>
      </c>
      <c r="B59" s="34" t="s">
        <v>58</v>
      </c>
      <c r="C59" s="35" t="s">
        <v>365</v>
      </c>
      <c r="D59" s="36">
        <v>58053.44623488287</v>
      </c>
      <c r="E59" s="36">
        <v>61414.57184702795</v>
      </c>
      <c r="F59" s="36">
        <v>68862.803685873</v>
      </c>
      <c r="G59" s="36">
        <v>74403.977043633</v>
      </c>
      <c r="H59" s="36">
        <v>80638.033427685</v>
      </c>
      <c r="I59" s="36">
        <v>82764.91386068301</v>
      </c>
      <c r="J59" s="36">
        <v>83884.558876547</v>
      </c>
      <c r="K59" s="36">
        <v>83996.908516408</v>
      </c>
      <c r="L59" s="36">
        <v>84101.90232452599</v>
      </c>
      <c r="M59" s="36">
        <v>85199.479344177</v>
      </c>
      <c r="N59" s="64">
        <v>87589.78742277701</v>
      </c>
    </row>
    <row r="60" spans="1:14" ht="92.25" customHeight="1">
      <c r="A60" s="33">
        <v>54</v>
      </c>
      <c r="B60" s="34" t="s">
        <v>57</v>
      </c>
      <c r="C60" s="35" t="s">
        <v>365</v>
      </c>
      <c r="D60" s="36">
        <v>580.5344623488286</v>
      </c>
      <c r="E60" s="36">
        <v>3044.8735923513977</v>
      </c>
      <c r="F60" s="36">
        <v>4512.16963980666</v>
      </c>
      <c r="G60" s="36">
        <v>5191.09510994213</v>
      </c>
      <c r="H60" s="36">
        <v>7484.799661555</v>
      </c>
      <c r="I60" s="36">
        <v>18882.389119518124</v>
      </c>
      <c r="J60" s="36">
        <v>25385.15304130241</v>
      </c>
      <c r="K60" s="36">
        <v>45994.3952231515</v>
      </c>
      <c r="L60" s="36">
        <f>L59</f>
        <v>84101.90232452599</v>
      </c>
      <c r="M60" s="36">
        <f>M59</f>
        <v>85199.479344177</v>
      </c>
      <c r="N60" s="36">
        <v>87589.78742277701</v>
      </c>
    </row>
    <row r="61" spans="1:14" ht="42.75" customHeight="1">
      <c r="A61" s="33">
        <v>55</v>
      </c>
      <c r="B61" s="34" t="s">
        <v>70</v>
      </c>
      <c r="C61" s="35" t="s">
        <v>365</v>
      </c>
      <c r="D61" s="36">
        <v>98380.15376511714</v>
      </c>
      <c r="E61" s="36">
        <v>102785.42815297205</v>
      </c>
      <c r="F61" s="36">
        <v>117637.196314127</v>
      </c>
      <c r="G61" s="36">
        <v>129496.022956367</v>
      </c>
      <c r="H61" s="36">
        <v>135361.966572315</v>
      </c>
      <c r="I61" s="36">
        <v>139235.086139317</v>
      </c>
      <c r="J61" s="36">
        <v>141115.441123453</v>
      </c>
      <c r="K61" s="36">
        <v>142003.091483592</v>
      </c>
      <c r="L61" s="36">
        <v>143898.097675474</v>
      </c>
      <c r="M61" s="36">
        <v>144800.520655823</v>
      </c>
      <c r="N61" s="36">
        <v>152410.212577223</v>
      </c>
    </row>
    <row r="62" spans="1:14" ht="94.5">
      <c r="A62" s="33">
        <v>56</v>
      </c>
      <c r="B62" s="34" t="s">
        <v>55</v>
      </c>
      <c r="C62" s="35" t="s">
        <v>365</v>
      </c>
      <c r="D62" s="36">
        <v>983.8015376511714</v>
      </c>
      <c r="E62" s="36">
        <v>5139.271407648603</v>
      </c>
      <c r="F62" s="36">
        <v>8290.975705130184</v>
      </c>
      <c r="G62" s="36">
        <v>8750</v>
      </c>
      <c r="H62" s="36">
        <v>9482.576991508366</v>
      </c>
      <c r="I62" s="36">
        <v>21247.01722786337</v>
      </c>
      <c r="J62" s="36">
        <v>42846.17644938127</v>
      </c>
      <c r="K62" s="36">
        <v>94801.8548901555</v>
      </c>
      <c r="L62" s="36">
        <f>L61</f>
        <v>143898.097675474</v>
      </c>
      <c r="M62" s="36">
        <v>144800.520655823</v>
      </c>
      <c r="N62" s="36">
        <v>152410.212577223</v>
      </c>
    </row>
    <row r="63" spans="1:14" ht="33" customHeight="1">
      <c r="A63" s="33">
        <v>57</v>
      </c>
      <c r="B63" s="34" t="s">
        <v>56</v>
      </c>
      <c r="C63" s="35" t="s">
        <v>48</v>
      </c>
      <c r="D63" s="36">
        <v>130996</v>
      </c>
      <c r="E63" s="36">
        <v>131669</v>
      </c>
      <c r="F63" s="36">
        <v>132342</v>
      </c>
      <c r="G63" s="36">
        <v>133015</v>
      </c>
      <c r="H63" s="36">
        <v>133688</v>
      </c>
      <c r="I63" s="36">
        <v>134361</v>
      </c>
      <c r="J63" s="36">
        <v>135034</v>
      </c>
      <c r="K63" s="36">
        <v>135707</v>
      </c>
      <c r="L63" s="36">
        <v>136380</v>
      </c>
      <c r="M63" s="36">
        <v>137053</v>
      </c>
      <c r="N63" s="36">
        <v>139745</v>
      </c>
    </row>
    <row r="64" spans="1:14" ht="61.5" customHeight="1">
      <c r="A64" s="33">
        <v>58</v>
      </c>
      <c r="B64" s="34" t="s">
        <v>15</v>
      </c>
      <c r="C64" s="35" t="s">
        <v>48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100</v>
      </c>
      <c r="J64" s="36">
        <v>500</v>
      </c>
      <c r="K64" s="36">
        <v>1500</v>
      </c>
      <c r="L64" s="36">
        <v>3000</v>
      </c>
      <c r="M64" s="36">
        <v>6000</v>
      </c>
      <c r="N64" s="36">
        <v>20450</v>
      </c>
    </row>
    <row r="65" spans="1:14" ht="144.75" customHeight="1">
      <c r="A65" s="33">
        <v>59</v>
      </c>
      <c r="B65" s="34" t="s">
        <v>16</v>
      </c>
      <c r="C65" s="35" t="s">
        <v>48</v>
      </c>
      <c r="D65" s="36">
        <v>16</v>
      </c>
      <c r="E65" s="36">
        <v>20</v>
      </c>
      <c r="F65" s="36">
        <v>30</v>
      </c>
      <c r="G65" s="36">
        <v>35</v>
      </c>
      <c r="H65" s="36">
        <v>40</v>
      </c>
      <c r="I65" s="36">
        <v>50</v>
      </c>
      <c r="J65" s="36">
        <v>60</v>
      </c>
      <c r="K65" s="36">
        <v>70</v>
      </c>
      <c r="L65" s="36">
        <v>80</v>
      </c>
      <c r="M65" s="36">
        <v>90</v>
      </c>
      <c r="N65" s="36">
        <v>150</v>
      </c>
    </row>
    <row r="66" spans="1:14" ht="157.5">
      <c r="A66" s="130">
        <v>60</v>
      </c>
      <c r="B66" s="65" t="s">
        <v>17</v>
      </c>
      <c r="C66" s="66" t="s">
        <v>48</v>
      </c>
      <c r="D66" s="67">
        <v>0</v>
      </c>
      <c r="E66" s="67">
        <v>0</v>
      </c>
      <c r="F66" s="67">
        <v>0</v>
      </c>
      <c r="G66" s="67">
        <v>5</v>
      </c>
      <c r="H66" s="67">
        <v>25</v>
      </c>
      <c r="I66" s="67">
        <v>40</v>
      </c>
      <c r="J66" s="67">
        <v>50</v>
      </c>
      <c r="K66" s="67">
        <v>60</v>
      </c>
      <c r="L66" s="67">
        <v>70</v>
      </c>
      <c r="M66" s="67">
        <v>80</v>
      </c>
      <c r="N66" s="67">
        <v>100</v>
      </c>
    </row>
    <row r="67" spans="1:14" ht="63">
      <c r="A67" s="131">
        <v>61</v>
      </c>
      <c r="B67" s="68" t="s">
        <v>188</v>
      </c>
      <c r="C67" s="69" t="s">
        <v>189</v>
      </c>
      <c r="D67" s="70">
        <v>648616.54</v>
      </c>
      <c r="E67" s="70">
        <v>735851.22</v>
      </c>
      <c r="F67" s="70">
        <v>764677.9696</v>
      </c>
      <c r="G67" s="70">
        <v>741737.630512</v>
      </c>
      <c r="H67" s="70">
        <v>759523.2995009187</v>
      </c>
      <c r="I67" s="70">
        <v>788237.6994281413</v>
      </c>
      <c r="J67" s="70">
        <v>780954.6829594967</v>
      </c>
      <c r="K67" s="70">
        <v>757426.6975077972</v>
      </c>
      <c r="L67" s="70">
        <v>768716.3</v>
      </c>
      <c r="M67" s="70">
        <v>730280.5066698065</v>
      </c>
      <c r="N67" s="70">
        <v>620738.4306693355</v>
      </c>
    </row>
    <row r="68" spans="1:14" ht="63">
      <c r="A68" s="131">
        <v>62</v>
      </c>
      <c r="B68" s="68" t="s">
        <v>190</v>
      </c>
      <c r="C68" s="69" t="s">
        <v>191</v>
      </c>
      <c r="D68" s="70">
        <v>330818.95</v>
      </c>
      <c r="E68" s="70">
        <v>322633.67000000004</v>
      </c>
      <c r="F68" s="70">
        <v>358528.76</v>
      </c>
      <c r="G68" s="71">
        <v>363428.76</v>
      </c>
      <c r="H68" s="71">
        <v>372143.194</v>
      </c>
      <c r="I68" s="71">
        <v>673000</v>
      </c>
      <c r="J68" s="71">
        <v>873000</v>
      </c>
      <c r="K68" s="71">
        <v>1073000</v>
      </c>
      <c r="L68" s="71">
        <v>1616000</v>
      </c>
      <c r="M68" s="71">
        <v>1616000</v>
      </c>
      <c r="N68" s="71">
        <v>1616000</v>
      </c>
    </row>
    <row r="69" spans="1:14" ht="63">
      <c r="A69" s="131">
        <v>63</v>
      </c>
      <c r="B69" s="68" t="s">
        <v>192</v>
      </c>
      <c r="C69" s="69" t="s">
        <v>189</v>
      </c>
      <c r="D69" s="70">
        <v>149458.64852459016</v>
      </c>
      <c r="E69" s="70">
        <v>176024.9385245902</v>
      </c>
      <c r="F69" s="70">
        <v>146335.32848888886</v>
      </c>
      <c r="G69" s="71">
        <v>131701.79563999997</v>
      </c>
      <c r="H69" s="71">
        <v>118531.61607599998</v>
      </c>
      <c r="I69" s="71">
        <v>89868.73208834809</v>
      </c>
      <c r="J69" s="71">
        <v>70808.55561149801</v>
      </c>
      <c r="K69" s="71">
        <v>51748.37913464795</v>
      </c>
      <c r="L69" s="71">
        <v>0</v>
      </c>
      <c r="M69" s="71">
        <v>0</v>
      </c>
      <c r="N69" s="71">
        <v>0</v>
      </c>
    </row>
    <row r="70" spans="1:14" ht="78" customHeight="1">
      <c r="A70" s="131">
        <v>64</v>
      </c>
      <c r="B70" s="68" t="s">
        <v>193</v>
      </c>
      <c r="C70" s="69" t="s">
        <v>191</v>
      </c>
      <c r="D70" s="70">
        <v>1163085.01</v>
      </c>
      <c r="E70" s="70">
        <v>1249525.11</v>
      </c>
      <c r="F70" s="70">
        <v>1252476.52</v>
      </c>
      <c r="G70" s="71">
        <v>1252476.52</v>
      </c>
      <c r="H70" s="71">
        <v>1243762</v>
      </c>
      <c r="I70" s="71">
        <v>943000</v>
      </c>
      <c r="J70" s="71">
        <v>743000</v>
      </c>
      <c r="K70" s="71">
        <v>543000</v>
      </c>
      <c r="L70" s="71">
        <v>0</v>
      </c>
      <c r="M70" s="71">
        <v>0</v>
      </c>
      <c r="N70" s="71">
        <v>0</v>
      </c>
    </row>
    <row r="71" spans="1:14" ht="88.5" customHeight="1">
      <c r="A71" s="131">
        <v>65</v>
      </c>
      <c r="B71" s="68" t="s">
        <v>194</v>
      </c>
      <c r="C71" s="69" t="s">
        <v>195</v>
      </c>
      <c r="D71" s="70">
        <v>306859</v>
      </c>
      <c r="E71" s="70">
        <v>323429.58566807245</v>
      </c>
      <c r="F71" s="70">
        <v>306353.2710337711</v>
      </c>
      <c r="G71" s="70">
        <v>302837.67096144136</v>
      </c>
      <c r="H71" s="70">
        <v>302090.1180640705</v>
      </c>
      <c r="I71" s="70">
        <v>529892.481087046</v>
      </c>
      <c r="J71" s="70">
        <v>666743.3163585755</v>
      </c>
      <c r="K71" s="70">
        <v>794906.198280835</v>
      </c>
      <c r="L71" s="70">
        <v>1161259.4</v>
      </c>
      <c r="M71" s="70">
        <v>1131149.3</v>
      </c>
      <c r="N71" s="70">
        <v>987070.5119662612</v>
      </c>
    </row>
    <row r="72" spans="1:14" ht="90" customHeight="1">
      <c r="A72" s="131">
        <v>66</v>
      </c>
      <c r="B72" s="68" t="s">
        <v>196</v>
      </c>
      <c r="C72" s="69" t="s">
        <v>197</v>
      </c>
      <c r="D72" s="162">
        <v>4130</v>
      </c>
      <c r="E72" s="162">
        <v>3738</v>
      </c>
      <c r="F72" s="162">
        <v>4050</v>
      </c>
      <c r="G72" s="163">
        <v>4076</v>
      </c>
      <c r="H72" s="163">
        <v>4206</v>
      </c>
      <c r="I72" s="163">
        <v>7745</v>
      </c>
      <c r="J72" s="163">
        <v>10337</v>
      </c>
      <c r="K72" s="163">
        <v>12652</v>
      </c>
      <c r="L72" s="163">
        <v>15412</v>
      </c>
      <c r="M72" s="163">
        <v>20464</v>
      </c>
      <c r="N72" s="163">
        <v>20464</v>
      </c>
    </row>
    <row r="73" spans="1:14" ht="88.5" customHeight="1">
      <c r="A73" s="131">
        <v>67</v>
      </c>
      <c r="B73" s="68" t="s">
        <v>198</v>
      </c>
      <c r="C73" s="69" t="s">
        <v>195</v>
      </c>
      <c r="D73" s="70">
        <v>1078955</v>
      </c>
      <c r="E73" s="70">
        <v>1252607.604808118</v>
      </c>
      <c r="F73" s="70">
        <v>1070207.8092563467</v>
      </c>
      <c r="G73" s="71">
        <v>1043662.7862106762</v>
      </c>
      <c r="H73" s="71">
        <v>1009633.4300382356</v>
      </c>
      <c r="I73" s="71">
        <v>742479.3605721908</v>
      </c>
      <c r="J73" s="71">
        <v>567457.370050884</v>
      </c>
      <c r="K73" s="71">
        <v>402268.4675363406</v>
      </c>
      <c r="L73" s="71">
        <v>0</v>
      </c>
      <c r="M73" s="71">
        <v>0</v>
      </c>
      <c r="N73" s="71">
        <v>0</v>
      </c>
    </row>
    <row r="74" spans="1:14" ht="90" customHeight="1">
      <c r="A74" s="131">
        <v>68</v>
      </c>
      <c r="B74" s="68" t="s">
        <v>199</v>
      </c>
      <c r="C74" s="69" t="s">
        <v>197</v>
      </c>
      <c r="D74" s="162">
        <v>14522</v>
      </c>
      <c r="E74" s="162">
        <v>14477</v>
      </c>
      <c r="F74" s="162">
        <v>14150</v>
      </c>
      <c r="G74" s="163">
        <v>14048</v>
      </c>
      <c r="H74" s="163">
        <v>14058</v>
      </c>
      <c r="I74" s="163">
        <v>10852</v>
      </c>
      <c r="J74" s="163">
        <v>8798</v>
      </c>
      <c r="K74" s="163">
        <v>6402</v>
      </c>
      <c r="L74" s="163">
        <v>4153</v>
      </c>
      <c r="M74" s="163">
        <v>0</v>
      </c>
      <c r="N74" s="163">
        <v>0</v>
      </c>
    </row>
    <row r="75" spans="1:14" ht="78.75">
      <c r="A75" s="131">
        <v>69</v>
      </c>
      <c r="B75" s="68" t="s">
        <v>200</v>
      </c>
      <c r="C75" s="69" t="s">
        <v>391</v>
      </c>
      <c r="D75" s="70">
        <v>129110786.98828408</v>
      </c>
      <c r="E75" s="70">
        <v>131628308</v>
      </c>
      <c r="F75" s="70">
        <v>127046220</v>
      </c>
      <c r="G75" s="70">
        <v>114799552</v>
      </c>
      <c r="H75" s="70">
        <v>116917666.46247862</v>
      </c>
      <c r="I75" s="70">
        <v>119338416.07278876</v>
      </c>
      <c r="J75" s="70">
        <v>118145031.91206084</v>
      </c>
      <c r="K75" s="70">
        <v>117548339.8</v>
      </c>
      <c r="L75" s="70">
        <v>115785114.73422147</v>
      </c>
      <c r="M75" s="70">
        <v>114048338.01320814</v>
      </c>
      <c r="N75" s="70">
        <v>112337612.94301002</v>
      </c>
    </row>
    <row r="76" spans="1:14" ht="78.75">
      <c r="A76" s="131">
        <v>70</v>
      </c>
      <c r="B76" s="68" t="s">
        <v>201</v>
      </c>
      <c r="C76" s="69" t="s">
        <v>197</v>
      </c>
      <c r="D76" s="70">
        <v>17920</v>
      </c>
      <c r="E76" s="70">
        <v>17480</v>
      </c>
      <c r="F76" s="70">
        <v>17485</v>
      </c>
      <c r="G76" s="71">
        <v>17424</v>
      </c>
      <c r="H76" s="71">
        <v>17574</v>
      </c>
      <c r="I76" s="71">
        <v>17957</v>
      </c>
      <c r="J76" s="71">
        <v>18635</v>
      </c>
      <c r="K76" s="71">
        <v>19054</v>
      </c>
      <c r="L76" s="71">
        <v>18965</v>
      </c>
      <c r="M76" s="71">
        <v>20464</v>
      </c>
      <c r="N76" s="71">
        <v>20464</v>
      </c>
    </row>
    <row r="77" spans="1:14" ht="78.75">
      <c r="A77" s="131">
        <v>71</v>
      </c>
      <c r="B77" s="68" t="s">
        <v>202</v>
      </c>
      <c r="C77" s="69" t="s">
        <v>391</v>
      </c>
      <c r="D77" s="70">
        <v>3993117.123348996</v>
      </c>
      <c r="E77" s="70">
        <v>2686292</v>
      </c>
      <c r="F77" s="70">
        <v>2592780</v>
      </c>
      <c r="G77" s="71">
        <v>2342848</v>
      </c>
      <c r="H77" s="71">
        <v>2386074.8257648796</v>
      </c>
      <c r="I77" s="71">
        <v>1817336.2853724211</v>
      </c>
      <c r="J77" s="71">
        <v>1193384.1607278883</v>
      </c>
      <c r="K77" s="71">
        <v>0</v>
      </c>
      <c r="L77" s="71">
        <v>0</v>
      </c>
      <c r="M77" s="71">
        <v>0</v>
      </c>
      <c r="N77" s="71">
        <v>0</v>
      </c>
    </row>
    <row r="78" spans="1:14" ht="78.75">
      <c r="A78" s="131">
        <v>72</v>
      </c>
      <c r="B78" s="68" t="s">
        <v>203</v>
      </c>
      <c r="C78" s="69" t="s">
        <v>197</v>
      </c>
      <c r="D78" s="70">
        <v>732</v>
      </c>
      <c r="E78" s="70">
        <v>735</v>
      </c>
      <c r="F78" s="70">
        <v>715</v>
      </c>
      <c r="G78" s="71">
        <v>700</v>
      </c>
      <c r="H78" s="71">
        <v>690</v>
      </c>
      <c r="I78" s="71">
        <v>640</v>
      </c>
      <c r="J78" s="71">
        <v>500</v>
      </c>
      <c r="K78" s="71">
        <v>0</v>
      </c>
      <c r="L78" s="71">
        <v>0</v>
      </c>
      <c r="M78" s="71">
        <v>0</v>
      </c>
      <c r="N78" s="71">
        <v>0</v>
      </c>
    </row>
    <row r="79" spans="1:14" ht="31.5">
      <c r="A79" s="131">
        <v>73</v>
      </c>
      <c r="B79" s="68" t="s">
        <v>204</v>
      </c>
      <c r="C79" s="69" t="s">
        <v>392</v>
      </c>
      <c r="D79" s="170">
        <v>0.384</v>
      </c>
      <c r="E79" s="170">
        <v>0.399</v>
      </c>
      <c r="F79" s="170">
        <v>0.4</v>
      </c>
      <c r="G79" s="171">
        <v>0.3985</v>
      </c>
      <c r="H79" s="171">
        <v>0.3972</v>
      </c>
      <c r="I79" s="171">
        <v>0.3953</v>
      </c>
      <c r="J79" s="171">
        <v>0.3948</v>
      </c>
      <c r="K79" s="171">
        <v>0.394</v>
      </c>
      <c r="L79" s="171">
        <v>0.392</v>
      </c>
      <c r="M79" s="171">
        <v>0.3901</v>
      </c>
      <c r="N79" s="171">
        <v>0.284</v>
      </c>
    </row>
    <row r="80" spans="1:14" ht="15.75">
      <c r="A80" s="131">
        <v>74</v>
      </c>
      <c r="B80" s="68" t="s">
        <v>205</v>
      </c>
      <c r="C80" s="69" t="s">
        <v>206</v>
      </c>
      <c r="D80" s="170">
        <v>0.172</v>
      </c>
      <c r="E80" s="170">
        <v>0.2</v>
      </c>
      <c r="F80" s="170">
        <v>0.163</v>
      </c>
      <c r="G80" s="171">
        <v>0.1882</v>
      </c>
      <c r="H80" s="171">
        <v>0.188</v>
      </c>
      <c r="I80" s="171">
        <v>0.1879</v>
      </c>
      <c r="J80" s="171">
        <v>0.1875</v>
      </c>
      <c r="K80" s="171">
        <v>0.187</v>
      </c>
      <c r="L80" s="171">
        <v>0.1865</v>
      </c>
      <c r="M80" s="171">
        <v>0.185</v>
      </c>
      <c r="N80" s="171">
        <v>0.1672</v>
      </c>
    </row>
    <row r="81" spans="1:14" ht="31.5">
      <c r="A81" s="131">
        <v>75</v>
      </c>
      <c r="B81" s="68" t="s">
        <v>207</v>
      </c>
      <c r="C81" s="69" t="s">
        <v>391</v>
      </c>
      <c r="D81" s="70">
        <v>882500000</v>
      </c>
      <c r="E81" s="70">
        <v>898300000</v>
      </c>
      <c r="F81" s="70">
        <v>959100000</v>
      </c>
      <c r="G81" s="70">
        <v>964600000</v>
      </c>
      <c r="H81" s="70">
        <v>1021695773.0942552</v>
      </c>
      <c r="I81" s="70">
        <v>1049664694.8827105</v>
      </c>
      <c r="J81" s="70">
        <v>1000005685.0508</v>
      </c>
      <c r="K81" s="70">
        <v>984755350.84907</v>
      </c>
      <c r="L81" s="70">
        <v>925332593.08366</v>
      </c>
      <c r="M81" s="70">
        <v>952874161.86399</v>
      </c>
      <c r="N81" s="70">
        <v>2208819186.67263</v>
      </c>
    </row>
    <row r="82" spans="1:14" ht="15.75">
      <c r="A82" s="131">
        <v>76</v>
      </c>
      <c r="B82" s="68" t="s">
        <v>208</v>
      </c>
      <c r="C82" s="69" t="s">
        <v>209</v>
      </c>
      <c r="D82" s="70">
        <v>363.2</v>
      </c>
      <c r="E82" s="70">
        <v>428.3</v>
      </c>
      <c r="F82" s="70">
        <v>479.5</v>
      </c>
      <c r="G82" s="70">
        <v>479.7</v>
      </c>
      <c r="H82" s="70">
        <v>465.28596143998004</v>
      </c>
      <c r="I82" s="70">
        <v>457.51791670703517</v>
      </c>
      <c r="J82" s="70">
        <v>455.12774909689824</v>
      </c>
      <c r="K82" s="70">
        <v>450.036352438028</v>
      </c>
      <c r="L82" s="70">
        <v>447.253685762135</v>
      </c>
      <c r="M82" s="70">
        <v>444.358150060207</v>
      </c>
      <c r="N82" s="70">
        <v>489.951585445184</v>
      </c>
    </row>
    <row r="83" spans="1:14" ht="15.75">
      <c r="A83" s="131">
        <v>77</v>
      </c>
      <c r="B83" s="68" t="s">
        <v>210</v>
      </c>
      <c r="C83" s="69" t="s">
        <v>195</v>
      </c>
      <c r="D83" s="70">
        <v>24050900</v>
      </c>
      <c r="E83" s="70">
        <v>22313500</v>
      </c>
      <c r="F83" s="70">
        <v>23976398</v>
      </c>
      <c r="G83" s="70">
        <v>23469273</v>
      </c>
      <c r="H83" s="70">
        <v>22962148</v>
      </c>
      <c r="I83" s="70">
        <v>22455023</v>
      </c>
      <c r="J83" s="70">
        <v>20947898</v>
      </c>
      <c r="K83" s="70">
        <v>20440773</v>
      </c>
      <c r="L83" s="70">
        <v>19933648</v>
      </c>
      <c r="M83" s="70">
        <v>19426523</v>
      </c>
      <c r="N83" s="70">
        <v>15735125</v>
      </c>
    </row>
    <row r="84" spans="1:14" ht="31.5">
      <c r="A84" s="132">
        <v>78</v>
      </c>
      <c r="B84" s="72" t="s">
        <v>211</v>
      </c>
      <c r="C84" s="73" t="s">
        <v>391</v>
      </c>
      <c r="D84" s="74">
        <v>133911832</v>
      </c>
      <c r="E84" s="74">
        <v>125794923</v>
      </c>
      <c r="F84" s="74">
        <v>127823526</v>
      </c>
      <c r="G84" s="74">
        <v>124964550.47727273</v>
      </c>
      <c r="H84" s="74">
        <v>122105574.95454547</v>
      </c>
      <c r="I84" s="74">
        <v>119246599.4318182</v>
      </c>
      <c r="J84" s="74">
        <v>116387623.90909094</v>
      </c>
      <c r="K84" s="74">
        <v>113528648.38636367</v>
      </c>
      <c r="L84" s="74">
        <v>110669672.8636364</v>
      </c>
      <c r="M84" s="74">
        <v>107810697.34090914</v>
      </c>
      <c r="N84" s="74">
        <v>94346192.25</v>
      </c>
    </row>
    <row r="86" spans="1:14" ht="12.75">
      <c r="A86" s="241" t="s">
        <v>216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</row>
    <row r="87" spans="1:14" ht="12.75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</row>
  </sheetData>
  <sheetProtection/>
  <mergeCells count="8">
    <mergeCell ref="A86:N87"/>
    <mergeCell ref="J1:N1"/>
    <mergeCell ref="J2:N2"/>
    <mergeCell ref="A3:N3"/>
    <mergeCell ref="A4:A5"/>
    <mergeCell ref="B4:B5"/>
    <mergeCell ref="C4:C5"/>
    <mergeCell ref="D4:N4"/>
  </mergeCells>
  <printOptions/>
  <pageMargins left="0.2755905511811024" right="0.15748031496062992" top="0.55" bottom="0.3937007874015748" header="0.31496062992125984" footer="0.31496062992125984"/>
  <pageSetup fitToHeight="16" horizontalDpi="600" verticalDpi="600" orientation="landscape" paperSize="9" scale="66" r:id="rId1"/>
  <headerFooter alignWithMargins="0">
    <oddHeader>&amp;C&amp;P</oddHeader>
  </headerFooter>
  <rowBreaks count="4" manualBreakCount="4">
    <brk id="25" max="255" man="1"/>
    <brk id="44" max="255" man="1"/>
    <brk id="56" max="255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8.625" style="0" customWidth="1"/>
    <col min="2" max="2" width="9.25390625" style="0" customWidth="1"/>
    <col min="3" max="3" width="14.375" style="0" customWidth="1"/>
    <col min="4" max="4" width="18.00390625" style="0" customWidth="1"/>
    <col min="5" max="5" width="10.625" style="0" customWidth="1"/>
    <col min="6" max="6" width="10.00390625" style="0" customWidth="1"/>
    <col min="7" max="7" width="9.625" style="0" customWidth="1"/>
    <col min="9" max="9" width="10.125" style="0" customWidth="1"/>
  </cols>
  <sheetData>
    <row r="1" spans="1:9" ht="21" customHeight="1">
      <c r="A1" s="44" t="s">
        <v>229</v>
      </c>
      <c r="B1" s="44"/>
      <c r="C1" s="44"/>
      <c r="D1" s="44"/>
      <c r="E1" s="252" t="s">
        <v>357</v>
      </c>
      <c r="F1" s="252"/>
      <c r="G1" s="252"/>
      <c r="H1" s="252"/>
      <c r="I1" s="252"/>
    </row>
    <row r="2" spans="5:9" ht="67.5" customHeight="1">
      <c r="E2" s="215" t="s">
        <v>0</v>
      </c>
      <c r="F2" s="215"/>
      <c r="G2" s="215"/>
      <c r="H2" s="215"/>
      <c r="I2" s="215"/>
    </row>
    <row r="3" spans="1:9" ht="27.75" customHeight="1">
      <c r="A3" s="253" t="s">
        <v>331</v>
      </c>
      <c r="B3" s="253"/>
      <c r="C3" s="253"/>
      <c r="D3" s="253"/>
      <c r="E3" s="253"/>
      <c r="F3" s="253"/>
      <c r="G3" s="253"/>
      <c r="H3" s="253"/>
      <c r="I3" s="253"/>
    </row>
    <row r="4" ht="16.5">
      <c r="A4" s="45"/>
    </row>
    <row r="5" spans="1:9" ht="12.75">
      <c r="A5" s="254"/>
      <c r="B5" s="250" t="s">
        <v>230</v>
      </c>
      <c r="C5" s="250" t="s">
        <v>231</v>
      </c>
      <c r="D5" s="250" t="s">
        <v>332</v>
      </c>
      <c r="E5" s="250" t="s">
        <v>232</v>
      </c>
      <c r="F5" s="250" t="s">
        <v>233</v>
      </c>
      <c r="G5" s="250" t="s">
        <v>234</v>
      </c>
      <c r="H5" s="250" t="s">
        <v>235</v>
      </c>
      <c r="I5" s="250" t="s">
        <v>236</v>
      </c>
    </row>
    <row r="6" spans="1:9" ht="31.5" customHeight="1">
      <c r="A6" s="254"/>
      <c r="B6" s="250"/>
      <c r="C6" s="250"/>
      <c r="D6" s="250"/>
      <c r="E6" s="250"/>
      <c r="F6" s="250"/>
      <c r="G6" s="250"/>
      <c r="H6" s="250"/>
      <c r="I6" s="250"/>
    </row>
    <row r="7" spans="1:9" ht="25.5" customHeight="1">
      <c r="A7" s="48" t="s">
        <v>237</v>
      </c>
      <c r="B7" s="49">
        <v>407.7</v>
      </c>
      <c r="C7" s="49">
        <v>4.4</v>
      </c>
      <c r="D7" s="49">
        <v>194.7</v>
      </c>
      <c r="E7" s="49">
        <v>1077.9</v>
      </c>
      <c r="F7" s="49">
        <v>4.3</v>
      </c>
      <c r="G7" s="49"/>
      <c r="H7" s="49"/>
      <c r="I7" s="49">
        <f>B7+C7+D7+E7+F7+G7+H7</f>
        <v>1689</v>
      </c>
    </row>
    <row r="8" spans="1:9" ht="33" customHeight="1">
      <c r="A8" s="50" t="s">
        <v>238</v>
      </c>
      <c r="B8" s="49">
        <v>10713.5</v>
      </c>
      <c r="C8" s="49">
        <v>58.5</v>
      </c>
      <c r="D8" s="49">
        <v>5030</v>
      </c>
      <c r="E8" s="49">
        <v>86.3</v>
      </c>
      <c r="F8" s="49">
        <v>2561.2</v>
      </c>
      <c r="G8" s="49">
        <v>2530.3</v>
      </c>
      <c r="H8" s="49">
        <v>2147.3</v>
      </c>
      <c r="I8" s="49">
        <f>B8+C8+D8+E8+F8+G8+H8</f>
        <v>23127.1</v>
      </c>
    </row>
    <row r="9" spans="1:9" ht="15.75">
      <c r="A9" s="50" t="s">
        <v>239</v>
      </c>
      <c r="B9" s="49">
        <v>54.2</v>
      </c>
      <c r="C9" s="49"/>
      <c r="D9" s="49"/>
      <c r="E9" s="49">
        <v>918.9</v>
      </c>
      <c r="F9" s="49"/>
      <c r="G9" s="49">
        <v>51.2</v>
      </c>
      <c r="H9" s="49"/>
      <c r="I9" s="49">
        <f>B9+C9+D9+E9+F9+G9+H9</f>
        <v>1024.3</v>
      </c>
    </row>
    <row r="10" spans="1:9" ht="15.75">
      <c r="A10" s="50" t="s">
        <v>240</v>
      </c>
      <c r="B10" s="49">
        <v>-6685.3</v>
      </c>
      <c r="C10" s="49"/>
      <c r="D10" s="49">
        <v>-4576.7</v>
      </c>
      <c r="E10" s="49"/>
      <c r="F10" s="49"/>
      <c r="G10" s="49">
        <v>-308.8</v>
      </c>
      <c r="H10" s="49"/>
      <c r="I10" s="49">
        <f>B10+C10+D10+E10+F10+G10+H10</f>
        <v>-11570.8</v>
      </c>
    </row>
    <row r="11" spans="1:9" ht="22.5" customHeight="1">
      <c r="A11" s="51" t="s">
        <v>241</v>
      </c>
      <c r="B11" s="52">
        <f>B7+B8+B9+B10</f>
        <v>4490.100000000001</v>
      </c>
      <c r="C11" s="52">
        <f aca="true" t="shared" si="0" ref="C11:H11">C7+C8+C9+C10</f>
        <v>62.9</v>
      </c>
      <c r="D11" s="52">
        <f>D7+D8+D9+D10</f>
        <v>648</v>
      </c>
      <c r="E11" s="52">
        <f t="shared" si="0"/>
        <v>2083.1</v>
      </c>
      <c r="F11" s="52">
        <f t="shared" si="0"/>
        <v>2565.5</v>
      </c>
      <c r="G11" s="52">
        <f t="shared" si="0"/>
        <v>2272.7</v>
      </c>
      <c r="H11" s="52">
        <f t="shared" si="0"/>
        <v>2147.3</v>
      </c>
      <c r="I11" s="52">
        <f aca="true" t="shared" si="1" ref="I11:I17">B11+C11+D11+E11+F11+G11+H11</f>
        <v>14269.599999999999</v>
      </c>
    </row>
    <row r="12" spans="1:9" ht="24" customHeight="1">
      <c r="A12" s="51" t="s">
        <v>242</v>
      </c>
      <c r="B12" s="52">
        <f aca="true" t="shared" si="2" ref="B12:H12">B13+B14+B16+B15</f>
        <v>-4098.6</v>
      </c>
      <c r="C12" s="52">
        <f t="shared" si="2"/>
        <v>-56.9</v>
      </c>
      <c r="D12" s="52">
        <f t="shared" si="2"/>
        <v>-430.8</v>
      </c>
      <c r="E12" s="52">
        <f t="shared" si="2"/>
        <v>-1081.3</v>
      </c>
      <c r="F12" s="52">
        <f t="shared" si="2"/>
        <v>-2311.8</v>
      </c>
      <c r="G12" s="52">
        <f t="shared" si="2"/>
        <v>-2107.3</v>
      </c>
      <c r="H12" s="52">
        <f t="shared" si="2"/>
        <v>-1368</v>
      </c>
      <c r="I12" s="52">
        <f t="shared" si="1"/>
        <v>-11454.7</v>
      </c>
    </row>
    <row r="13" spans="1:9" ht="33" customHeight="1">
      <c r="A13" s="50" t="s">
        <v>243</v>
      </c>
      <c r="B13" s="49">
        <v>-1236.9</v>
      </c>
      <c r="C13" s="49"/>
      <c r="D13" s="49"/>
      <c r="E13" s="49">
        <v>-133</v>
      </c>
      <c r="F13" s="49">
        <v>-961.2</v>
      </c>
      <c r="G13" s="49"/>
      <c r="H13" s="49"/>
      <c r="I13" s="49">
        <f t="shared" si="1"/>
        <v>-2331.1000000000004</v>
      </c>
    </row>
    <row r="14" spans="1:9" ht="23.25" customHeight="1">
      <c r="A14" s="50" t="s">
        <v>244</v>
      </c>
      <c r="B14" s="49">
        <v>-951</v>
      </c>
      <c r="C14" s="49">
        <v>-56.9</v>
      </c>
      <c r="D14" s="49">
        <v>-430.8</v>
      </c>
      <c r="E14" s="49"/>
      <c r="F14" s="49">
        <v>-584.2</v>
      </c>
      <c r="G14" s="49"/>
      <c r="H14" s="49"/>
      <c r="I14" s="49">
        <f t="shared" si="1"/>
        <v>-2022.9</v>
      </c>
    </row>
    <row r="15" spans="1:9" ht="21" customHeight="1">
      <c r="A15" s="50" t="s">
        <v>245</v>
      </c>
      <c r="B15" s="49">
        <v>-1693.3</v>
      </c>
      <c r="C15" s="49"/>
      <c r="D15" s="49"/>
      <c r="E15" s="49"/>
      <c r="F15" s="49">
        <v>-378.5</v>
      </c>
      <c r="G15" s="49">
        <v>-1775</v>
      </c>
      <c r="H15" s="49">
        <v>-952.3</v>
      </c>
      <c r="I15" s="49">
        <f t="shared" si="1"/>
        <v>-4799.1</v>
      </c>
    </row>
    <row r="16" spans="1:9" ht="20.25" customHeight="1">
      <c r="A16" s="50" t="s">
        <v>246</v>
      </c>
      <c r="B16" s="49">
        <v>-217.4</v>
      </c>
      <c r="C16" s="49"/>
      <c r="D16" s="49"/>
      <c r="E16" s="49">
        <v>-948.3</v>
      </c>
      <c r="F16" s="49">
        <v>-387.9</v>
      </c>
      <c r="G16" s="49">
        <v>-332.3</v>
      </c>
      <c r="H16" s="49">
        <v>-415.7</v>
      </c>
      <c r="I16" s="49">
        <f t="shared" si="1"/>
        <v>-2301.6</v>
      </c>
    </row>
    <row r="17" spans="1:9" ht="18" customHeight="1">
      <c r="A17" s="51" t="s">
        <v>247</v>
      </c>
      <c r="B17" s="52">
        <v>-1.6</v>
      </c>
      <c r="C17" s="52">
        <v>-2.3</v>
      </c>
      <c r="D17" s="52"/>
      <c r="E17" s="52">
        <v>-138.8</v>
      </c>
      <c r="F17" s="52">
        <v>-235.4</v>
      </c>
      <c r="G17" s="52">
        <v>-165.4</v>
      </c>
      <c r="H17" s="52">
        <v>-779.3</v>
      </c>
      <c r="I17" s="52">
        <f t="shared" si="1"/>
        <v>-1322.8</v>
      </c>
    </row>
    <row r="18" spans="1:9" ht="23.25" customHeight="1">
      <c r="A18" s="51" t="s">
        <v>248</v>
      </c>
      <c r="B18" s="52">
        <f aca="true" t="shared" si="3" ref="B18:I18">B11+B12+B17</f>
        <v>389.9000000000009</v>
      </c>
      <c r="C18" s="52">
        <f t="shared" si="3"/>
        <v>3.7</v>
      </c>
      <c r="D18" s="52">
        <f t="shared" si="3"/>
        <v>217.2</v>
      </c>
      <c r="E18" s="52">
        <f t="shared" si="3"/>
        <v>863</v>
      </c>
      <c r="F18" s="52">
        <f t="shared" si="3"/>
        <v>18.299999999999812</v>
      </c>
      <c r="G18" s="52">
        <f t="shared" si="3"/>
        <v>-3.694822225952521E-13</v>
      </c>
      <c r="H18" s="52">
        <f t="shared" si="3"/>
        <v>0</v>
      </c>
      <c r="I18" s="52">
        <f t="shared" si="3"/>
        <v>1492.0999999999979</v>
      </c>
    </row>
    <row r="19" spans="1:9" ht="15.75">
      <c r="A19" s="46"/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251" t="s">
        <v>1</v>
      </c>
      <c r="B20" s="251"/>
      <c r="C20" s="251"/>
      <c r="D20" s="251"/>
      <c r="E20" s="251"/>
      <c r="F20" s="251"/>
      <c r="G20" s="251"/>
      <c r="H20" s="251"/>
      <c r="I20" s="251"/>
    </row>
  </sheetData>
  <sheetProtection/>
  <mergeCells count="13">
    <mergeCell ref="E1:I1"/>
    <mergeCell ref="E2:I2"/>
    <mergeCell ref="A3:I3"/>
    <mergeCell ref="A5:A6"/>
    <mergeCell ref="B5:B6"/>
    <mergeCell ref="C5:C6"/>
    <mergeCell ref="D5:D6"/>
    <mergeCell ref="E5:E6"/>
    <mergeCell ref="F5:F6"/>
    <mergeCell ref="G5:G6"/>
    <mergeCell ref="A20:I20"/>
    <mergeCell ref="H5:H6"/>
    <mergeCell ref="I5:I6"/>
  </mergeCells>
  <printOptions/>
  <pageMargins left="0.3937007874015748" right="0.3937007874015748" top="0.7874015748031497" bottom="0.3937007874015748" header="0.31496062992125984" footer="0.1968503937007874"/>
  <pageSetup fitToHeight="10" fitToWidth="1"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sln</dc:creator>
  <cp:keywords/>
  <dc:description/>
  <cp:lastModifiedBy>FedotovaMM</cp:lastModifiedBy>
  <cp:lastPrinted>2011-11-20T04:45:49Z</cp:lastPrinted>
  <dcterms:created xsi:type="dcterms:W3CDTF">2010-06-16T09:19:57Z</dcterms:created>
  <dcterms:modified xsi:type="dcterms:W3CDTF">2011-11-20T04:46:38Z</dcterms:modified>
  <cp:category/>
  <cp:version/>
  <cp:contentType/>
  <cp:contentStatus/>
</cp:coreProperties>
</file>